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Business\M\Management IPA SCIRIAS\150420 TW Implementation\150707 Guidelines\"/>
    </mc:Choice>
  </mc:AlternateContent>
  <bookViews>
    <workbookView xWindow="0" yWindow="0" windowWidth="28800" windowHeight="12435" tabRatio="793"/>
  </bookViews>
  <sheets>
    <sheet name="Introduction" sheetId="40" r:id="rId1"/>
    <sheet name="Guidance" sheetId="41" r:id="rId2"/>
    <sheet name="Crime" sheetId="33" r:id="rId3"/>
    <sheet name="Education &amp; Skills" sheetId="34" r:id="rId4"/>
    <sheet name="Employment &amp; Economy" sheetId="35" r:id="rId5"/>
    <sheet name="Fire" sheetId="37" r:id="rId6"/>
    <sheet name="Health" sheetId="13" r:id="rId7"/>
    <sheet name="Housing" sheetId="36" r:id="rId8"/>
    <sheet name="Social Services" sheetId="31" r:id="rId9"/>
    <sheet name="Lookups" sheetId="24" r:id="rId10"/>
    <sheet name="v1.4 update log" sheetId="39" r:id="rId11"/>
  </sheets>
  <externalReferences>
    <externalReference r:id="rId12"/>
  </externalReferences>
  <definedNames>
    <definedName name="__123Graph_ADUMMY" hidden="1">[1]weekly!#REF!</definedName>
    <definedName name="__123Graph_AMAIN" hidden="1">[1]weekly!#REF!</definedName>
    <definedName name="__123Graph_AMONTHLY" hidden="1">[1]weekly!#REF!</definedName>
    <definedName name="__123Graph_AMONTHLY2" hidden="1">[1]weekly!#REF!</definedName>
    <definedName name="__123Graph_BDUMMY" hidden="1">[1]weekly!#REF!</definedName>
    <definedName name="__123Graph_BMAIN" hidden="1">[1]weekly!#REF!</definedName>
    <definedName name="__123Graph_BMONTHLY" hidden="1">[1]weekly!#REF!</definedName>
    <definedName name="__123Graph_BMONTHLY2" hidden="1">[1]weekly!#REF!</definedName>
    <definedName name="__123Graph_CDUMMY" hidden="1">[1]weekly!#REF!</definedName>
    <definedName name="__123Graph_CMONTHLY" hidden="1">[1]weekly!#REF!</definedName>
    <definedName name="__123Graph_CMONTHLY2" hidden="1">[1]weekly!#REF!</definedName>
    <definedName name="__123Graph_DMONTHLY2" hidden="1">[1]weekly!#REF!</definedName>
    <definedName name="__123Graph_EMONTHLY2" hidden="1">[1]weekly!#REF!</definedName>
    <definedName name="__123Graph_FMONTHLY2" hidden="1">[1]weekly!#REF!</definedName>
    <definedName name="__123Graph_XMAIN" hidden="1">[1]weekly!#REF!</definedName>
    <definedName name="__123Graph_XMONTHLY" hidden="1">[1]weekly!#REF!</definedName>
    <definedName name="__123Graph_XMONTHLY2" hidden="1">[1]weekly!#REF!</definedName>
    <definedName name="_xlnm._FilterDatabase" localSheetId="2" hidden="1">Crime!$A$2:$U$184</definedName>
    <definedName name="_xlnm._FilterDatabase" localSheetId="3" hidden="1">'Education &amp; Skills'!$A$2:$U$37</definedName>
    <definedName name="_xlnm._FilterDatabase" localSheetId="4" hidden="1">'Employment &amp; Economy'!$A$2:$AE$75</definedName>
    <definedName name="_xlnm._FilterDatabase" localSheetId="6" hidden="1">Health!$A$2:$U$2</definedName>
    <definedName name="_xlnm._FilterDatabase" localSheetId="8" hidden="1">'Social Services'!$A$2:$T$139</definedName>
    <definedName name="Level1agencysaving">Lookups!$F$11:$F$26</definedName>
    <definedName name="Level2agencysaving">Lookups!$G$11:$G$47</definedName>
    <definedName name="Outcomecategory">Lookups!$B$11:$B$18</definedName>
    <definedName name="Outcomedetail">Lookups!$D$11:$D$65</definedName>
    <definedName name="_xlnm.Print_Area" localSheetId="2">Crime!$A$1:$U$187</definedName>
    <definedName name="_xlnm.Print_Area" localSheetId="3">'Education &amp; Skills'!$A$1:$U$37</definedName>
    <definedName name="_xlnm.Print_Area" localSheetId="4">'Employment &amp; Economy'!$A$1:$U$77</definedName>
    <definedName name="_xlnm.Print_Area" localSheetId="5">Fire!$A$1:$U$17</definedName>
    <definedName name="_xlnm.Print_Area" localSheetId="6">Health!$A$1:$U$203</definedName>
    <definedName name="_xlnm.Print_Area" localSheetId="7">Housing!$A$1:$U$38</definedName>
    <definedName name="_xlnm.Print_Area" localSheetId="8">'Social Services'!$A$1:$U$139</definedName>
    <definedName name="_xlnm.Print_Area" localSheetId="10">'v1.4 update log'!$A$1:$F$46</definedName>
    <definedName name="_xlnm.Print_Titles" localSheetId="2">Crime!$1:$2</definedName>
    <definedName name="_xlnm.Print_Titles" localSheetId="3">'Education &amp; Skills'!$1:$2</definedName>
    <definedName name="_xlnm.Print_Titles" localSheetId="4">'Employment &amp; Economy'!$1:$2</definedName>
    <definedName name="_xlnm.Print_Titles" localSheetId="5">Fire!$1:$2</definedName>
    <definedName name="_xlnm.Print_Titles" localSheetId="6">Health!$1:$2</definedName>
    <definedName name="_xlnm.Print_Titles" localSheetId="7">Housing!$1:$2</definedName>
    <definedName name="_xlnm.Print_Titles" localSheetId="8">'Social Services'!$1:$2</definedName>
    <definedName name="_xlnm.Print_Titles" localSheetId="10">'v1.4 update log'!$2:$2</definedName>
    <definedName name="RAGassessment">Lookups!$V$11:$V$13</definedName>
    <definedName name="Unit">Lookups!$I$11:$I$79</definedName>
    <definedName name="Year">Lookups!$T$11:$T$37</definedName>
  </definedNames>
  <calcPr calcId="152511"/>
</workbook>
</file>

<file path=xl/calcChain.xml><?xml version="1.0" encoding="utf-8"?>
<calcChain xmlns="http://schemas.openxmlformats.org/spreadsheetml/2006/main">
  <c r="P31" i="33" l="1"/>
  <c r="P30" i="33"/>
  <c r="P26" i="33"/>
  <c r="P25" i="33"/>
  <c r="P24" i="33"/>
  <c r="P23" i="33"/>
  <c r="P22" i="33"/>
  <c r="P21" i="33"/>
  <c r="P20" i="33"/>
  <c r="P19" i="33"/>
  <c r="P18" i="33"/>
  <c r="M31" i="33"/>
  <c r="M30" i="33"/>
  <c r="M26" i="33"/>
  <c r="M25" i="33"/>
  <c r="M24" i="33"/>
  <c r="M23" i="33"/>
  <c r="M22" i="33"/>
  <c r="M21" i="33"/>
  <c r="M20" i="33"/>
  <c r="M19" i="33"/>
  <c r="M18" i="33"/>
  <c r="O13" i="24"/>
  <c r="P186" i="33"/>
  <c r="M186" i="33"/>
  <c r="P187" i="33"/>
  <c r="M187" i="33"/>
  <c r="P185" i="33"/>
  <c r="M185" i="33"/>
  <c r="P77" i="35"/>
  <c r="M77" i="35"/>
  <c r="P76" i="35"/>
  <c r="M76" i="35"/>
  <c r="P162" i="13"/>
  <c r="M162" i="13"/>
  <c r="P161" i="13"/>
  <c r="M161" i="13"/>
  <c r="P4" i="35"/>
  <c r="P15" i="35"/>
  <c r="P36" i="13"/>
  <c r="M36" i="13"/>
  <c r="P32" i="33"/>
  <c r="M32" i="33"/>
  <c r="P125" i="31"/>
  <c r="M125" i="31"/>
  <c r="P124" i="31"/>
  <c r="M124" i="31"/>
  <c r="P123" i="31"/>
  <c r="M123" i="31"/>
  <c r="P122" i="31"/>
  <c r="M122" i="31"/>
  <c r="P121" i="31"/>
  <c r="P35" i="13"/>
  <c r="M35" i="13"/>
  <c r="P33" i="13"/>
  <c r="M33" i="13"/>
  <c r="K106" i="31"/>
  <c r="H106" i="31"/>
  <c r="K95" i="31"/>
  <c r="H95" i="31"/>
  <c r="K88" i="31"/>
  <c r="H88" i="31"/>
  <c r="K75" i="31"/>
  <c r="H75" i="31"/>
  <c r="K105" i="31"/>
  <c r="H105" i="31"/>
  <c r="K104" i="31"/>
  <c r="H104" i="31"/>
  <c r="K87" i="31"/>
  <c r="H87" i="31"/>
  <c r="K86" i="31"/>
  <c r="H86" i="31"/>
  <c r="K77" i="31"/>
  <c r="K76" i="31" s="1"/>
  <c r="H77" i="31"/>
  <c r="H76" i="31" s="1"/>
  <c r="K71" i="31"/>
  <c r="H71" i="31"/>
  <c r="P34" i="13"/>
  <c r="M34" i="13"/>
  <c r="O10" i="24"/>
  <c r="O11" i="24"/>
  <c r="P11" i="24" s="1"/>
  <c r="O12" i="24"/>
  <c r="O14" i="24"/>
  <c r="O15" i="24"/>
  <c r="O16" i="24"/>
  <c r="O17" i="24"/>
  <c r="O18" i="24"/>
  <c r="O19" i="24"/>
  <c r="O20" i="24"/>
  <c r="O21" i="24"/>
  <c r="O22" i="24"/>
  <c r="O23" i="24"/>
  <c r="O24" i="24"/>
  <c r="O25" i="24"/>
  <c r="O26" i="24"/>
  <c r="O27" i="24"/>
  <c r="O28" i="24"/>
  <c r="O29" i="24"/>
  <c r="O30" i="24"/>
  <c r="O31" i="24"/>
  <c r="O32" i="24"/>
  <c r="O33" i="24"/>
  <c r="O34" i="24"/>
  <c r="O35" i="24"/>
  <c r="O36" i="24"/>
  <c r="O37" i="24"/>
  <c r="O38" i="24"/>
  <c r="O39" i="24"/>
  <c r="O40" i="24"/>
  <c r="R40" i="24"/>
  <c r="M3" i="31"/>
  <c r="M4" i="31"/>
  <c r="P4" i="31"/>
  <c r="M5" i="31"/>
  <c r="P5" i="31"/>
  <c r="M6" i="31"/>
  <c r="P6" i="31"/>
  <c r="M7" i="31"/>
  <c r="P7" i="31"/>
  <c r="M8" i="31"/>
  <c r="P8" i="31"/>
  <c r="M9" i="31"/>
  <c r="P9" i="31"/>
  <c r="M10" i="31"/>
  <c r="P10" i="31"/>
  <c r="M11" i="31"/>
  <c r="P11" i="31"/>
  <c r="M12" i="31"/>
  <c r="P12" i="31"/>
  <c r="M13" i="31"/>
  <c r="P13" i="31"/>
  <c r="M14" i="31"/>
  <c r="P14" i="31"/>
  <c r="M15" i="31"/>
  <c r="P15" i="31"/>
  <c r="M16" i="31"/>
  <c r="P16" i="31"/>
  <c r="M17" i="31"/>
  <c r="P17" i="31"/>
  <c r="M18" i="31"/>
  <c r="P18" i="31"/>
  <c r="M19" i="31"/>
  <c r="P19" i="31"/>
  <c r="M20" i="31"/>
  <c r="P20" i="31"/>
  <c r="M21" i="31"/>
  <c r="P21" i="31"/>
  <c r="M22" i="31"/>
  <c r="P22" i="31"/>
  <c r="M23" i="31"/>
  <c r="P23" i="31"/>
  <c r="M24" i="31"/>
  <c r="P24" i="31"/>
  <c r="M25" i="31"/>
  <c r="P25" i="31"/>
  <c r="M26" i="31"/>
  <c r="P26" i="31"/>
  <c r="M27" i="31"/>
  <c r="P27" i="31"/>
  <c r="M28" i="31"/>
  <c r="P28" i="31"/>
  <c r="M29" i="31"/>
  <c r="P29" i="31"/>
  <c r="M30" i="31"/>
  <c r="P30" i="31"/>
  <c r="M31" i="31"/>
  <c r="P31" i="31"/>
  <c r="M32" i="31"/>
  <c r="P32" i="31"/>
  <c r="M33" i="31"/>
  <c r="P33" i="31"/>
  <c r="M34" i="31"/>
  <c r="P34" i="31"/>
  <c r="M35" i="31"/>
  <c r="P35" i="31"/>
  <c r="M36" i="31"/>
  <c r="P36" i="31"/>
  <c r="M37" i="31"/>
  <c r="P37" i="31"/>
  <c r="M38" i="31"/>
  <c r="P38" i="31"/>
  <c r="M39" i="31"/>
  <c r="P39" i="31"/>
  <c r="M40" i="31"/>
  <c r="P40" i="31"/>
  <c r="M41" i="31"/>
  <c r="P41" i="31"/>
  <c r="M42" i="31"/>
  <c r="P42" i="31"/>
  <c r="M43" i="31"/>
  <c r="P43" i="31"/>
  <c r="M44" i="31"/>
  <c r="P44" i="31"/>
  <c r="M45" i="31"/>
  <c r="P45" i="31"/>
  <c r="M46" i="31"/>
  <c r="P46" i="31"/>
  <c r="M47" i="31"/>
  <c r="P47" i="31"/>
  <c r="M48" i="31"/>
  <c r="P48" i="31"/>
  <c r="M49" i="31"/>
  <c r="P49" i="31"/>
  <c r="M50" i="31"/>
  <c r="P50" i="31"/>
  <c r="M51" i="31"/>
  <c r="P51" i="31"/>
  <c r="M52" i="31"/>
  <c r="P52" i="31"/>
  <c r="M53" i="31"/>
  <c r="P53" i="31"/>
  <c r="M54" i="31"/>
  <c r="P54" i="31"/>
  <c r="M55" i="31"/>
  <c r="P55" i="31"/>
  <c r="M56" i="31"/>
  <c r="P56" i="31"/>
  <c r="M57" i="31"/>
  <c r="P57" i="31"/>
  <c r="M58" i="31"/>
  <c r="P58" i="31"/>
  <c r="M59" i="31"/>
  <c r="P59" i="31"/>
  <c r="M60" i="31"/>
  <c r="P60" i="31"/>
  <c r="M61" i="31"/>
  <c r="P61" i="31"/>
  <c r="M62" i="31"/>
  <c r="P62" i="31"/>
  <c r="M63" i="31"/>
  <c r="P63" i="31"/>
  <c r="M64" i="31"/>
  <c r="P64" i="31"/>
  <c r="M65" i="31"/>
  <c r="P65" i="31"/>
  <c r="M66" i="31"/>
  <c r="P66" i="31"/>
  <c r="M67" i="31"/>
  <c r="P67" i="31"/>
  <c r="M68" i="31"/>
  <c r="P68" i="31"/>
  <c r="M69" i="31"/>
  <c r="P69" i="31"/>
  <c r="M70" i="31"/>
  <c r="P70" i="31"/>
  <c r="P71" i="31"/>
  <c r="H72" i="31"/>
  <c r="K72" i="31"/>
  <c r="P72" i="31"/>
  <c r="M73" i="31"/>
  <c r="P73" i="31"/>
  <c r="M74" i="31"/>
  <c r="P74" i="31"/>
  <c r="P75" i="31"/>
  <c r="P76" i="31"/>
  <c r="P77" i="31"/>
  <c r="M78" i="31"/>
  <c r="P78" i="31"/>
  <c r="M79" i="31"/>
  <c r="P79" i="31"/>
  <c r="M80" i="31"/>
  <c r="P80" i="31"/>
  <c r="M81" i="31"/>
  <c r="P81" i="31"/>
  <c r="M82" i="31"/>
  <c r="P82" i="31"/>
  <c r="M83" i="31"/>
  <c r="P83" i="31"/>
  <c r="M84" i="31"/>
  <c r="P84" i="31"/>
  <c r="M85" i="31"/>
  <c r="P85" i="31"/>
  <c r="P86" i="31"/>
  <c r="P87" i="31"/>
  <c r="P88" i="31"/>
  <c r="M89" i="31"/>
  <c r="P89" i="31"/>
  <c r="M90" i="31"/>
  <c r="P90" i="31"/>
  <c r="M91" i="31"/>
  <c r="P91" i="31"/>
  <c r="M92" i="31"/>
  <c r="P92" i="31"/>
  <c r="M93" i="31"/>
  <c r="P93" i="31"/>
  <c r="M94" i="31"/>
  <c r="P94" i="31"/>
  <c r="P95" i="31"/>
  <c r="M96" i="31"/>
  <c r="P96" i="31"/>
  <c r="M97" i="31"/>
  <c r="P97" i="31"/>
  <c r="M98" i="31"/>
  <c r="P98" i="31"/>
  <c r="M99" i="31"/>
  <c r="P99" i="31"/>
  <c r="M100" i="31"/>
  <c r="P100" i="31"/>
  <c r="M101" i="31"/>
  <c r="P101" i="31"/>
  <c r="M102" i="31"/>
  <c r="P102" i="31"/>
  <c r="M103" i="31"/>
  <c r="P103" i="31"/>
  <c r="P104" i="31"/>
  <c r="P105" i="31"/>
  <c r="P106" i="31"/>
  <c r="M107" i="31"/>
  <c r="P107" i="31"/>
  <c r="M108" i="31"/>
  <c r="P108" i="31"/>
  <c r="M109" i="31"/>
  <c r="P109" i="31"/>
  <c r="M110" i="31"/>
  <c r="P110" i="31"/>
  <c r="M111" i="31"/>
  <c r="P111" i="31"/>
  <c r="M112" i="31"/>
  <c r="P112" i="31"/>
  <c r="M113" i="31"/>
  <c r="P113" i="31"/>
  <c r="M114" i="31"/>
  <c r="P114" i="31"/>
  <c r="M115" i="31"/>
  <c r="P115" i="31"/>
  <c r="P116" i="31"/>
  <c r="M117" i="31"/>
  <c r="P117" i="31"/>
  <c r="M118" i="31"/>
  <c r="P118" i="31"/>
  <c r="M119" i="31"/>
  <c r="P119" i="31"/>
  <c r="M120" i="31"/>
  <c r="P120" i="31"/>
  <c r="M126" i="31"/>
  <c r="P126" i="31"/>
  <c r="M127" i="31"/>
  <c r="P127" i="31"/>
  <c r="M128" i="31"/>
  <c r="P128" i="31"/>
  <c r="M129" i="31"/>
  <c r="P129" i="31"/>
  <c r="M130" i="31"/>
  <c r="P130" i="31"/>
  <c r="M131" i="31"/>
  <c r="P131" i="31"/>
  <c r="M132" i="31"/>
  <c r="P132" i="31"/>
  <c r="M133" i="31"/>
  <c r="P133" i="31"/>
  <c r="M134" i="31"/>
  <c r="P134" i="31"/>
  <c r="M135" i="31"/>
  <c r="P135" i="31"/>
  <c r="M136" i="31"/>
  <c r="P136" i="31"/>
  <c r="M137" i="31"/>
  <c r="P137" i="31"/>
  <c r="M138" i="31"/>
  <c r="P138" i="31"/>
  <c r="M139" i="31"/>
  <c r="P139" i="31"/>
  <c r="M3" i="36"/>
  <c r="P3" i="36"/>
  <c r="M4" i="36"/>
  <c r="P4" i="36"/>
  <c r="M5" i="36"/>
  <c r="P5" i="36"/>
  <c r="M6" i="36"/>
  <c r="P6" i="36"/>
  <c r="M7" i="36"/>
  <c r="P7" i="36"/>
  <c r="M8" i="36"/>
  <c r="P8" i="36"/>
  <c r="M9" i="36"/>
  <c r="P9" i="36"/>
  <c r="M10" i="36"/>
  <c r="P10" i="36"/>
  <c r="M11" i="36"/>
  <c r="P11" i="36"/>
  <c r="M12" i="36"/>
  <c r="P12" i="36"/>
  <c r="M13" i="36"/>
  <c r="P13" i="36"/>
  <c r="M14" i="36"/>
  <c r="P14" i="36"/>
  <c r="M15" i="36"/>
  <c r="P15" i="36"/>
  <c r="M16" i="36"/>
  <c r="P16" i="36"/>
  <c r="M17" i="36"/>
  <c r="P17" i="36"/>
  <c r="M18" i="36"/>
  <c r="P18" i="36"/>
  <c r="M19" i="36"/>
  <c r="P19" i="36"/>
  <c r="M20" i="36"/>
  <c r="P20" i="36"/>
  <c r="M21" i="36"/>
  <c r="P21" i="36"/>
  <c r="M22" i="36"/>
  <c r="P22" i="36"/>
  <c r="M23" i="36"/>
  <c r="P23" i="36"/>
  <c r="M24" i="36"/>
  <c r="P24" i="36"/>
  <c r="M25" i="36"/>
  <c r="P25" i="36"/>
  <c r="M26" i="36"/>
  <c r="P26" i="36"/>
  <c r="M27" i="36"/>
  <c r="P27" i="36"/>
  <c r="M28" i="36"/>
  <c r="P28" i="36"/>
  <c r="M29" i="36"/>
  <c r="P29" i="36"/>
  <c r="M30" i="36"/>
  <c r="P30" i="36"/>
  <c r="M31" i="36"/>
  <c r="P31" i="36"/>
  <c r="M32" i="36"/>
  <c r="P32" i="36"/>
  <c r="M33" i="36"/>
  <c r="P33" i="36"/>
  <c r="M34" i="36"/>
  <c r="P34" i="36"/>
  <c r="M35" i="36"/>
  <c r="P35" i="36"/>
  <c r="M36" i="36"/>
  <c r="P36" i="36"/>
  <c r="M37" i="36"/>
  <c r="P37" i="36"/>
  <c r="M38" i="36"/>
  <c r="P38" i="36"/>
  <c r="M3" i="13"/>
  <c r="M4" i="13"/>
  <c r="P4" i="13"/>
  <c r="M5" i="13"/>
  <c r="P5" i="13"/>
  <c r="M6" i="13"/>
  <c r="P6" i="13"/>
  <c r="M7" i="13"/>
  <c r="P7" i="13"/>
  <c r="M8" i="13"/>
  <c r="P8" i="13"/>
  <c r="M9" i="13"/>
  <c r="P9" i="13"/>
  <c r="M10" i="13"/>
  <c r="P10" i="13"/>
  <c r="M11" i="13"/>
  <c r="P11" i="13"/>
  <c r="M12" i="13"/>
  <c r="P12" i="13"/>
  <c r="M13" i="13"/>
  <c r="P13" i="13"/>
  <c r="M14" i="13"/>
  <c r="P14" i="13"/>
  <c r="M15" i="13"/>
  <c r="P15" i="13"/>
  <c r="M16" i="13"/>
  <c r="P16" i="13"/>
  <c r="M17" i="13"/>
  <c r="P17" i="13"/>
  <c r="H21" i="13"/>
  <c r="M21" i="13"/>
  <c r="P21" i="13"/>
  <c r="M23" i="13"/>
  <c r="P23" i="13"/>
  <c r="M24" i="13"/>
  <c r="P24" i="13"/>
  <c r="M25" i="13"/>
  <c r="P25" i="13"/>
  <c r="M26" i="13"/>
  <c r="P26" i="13"/>
  <c r="M27" i="13"/>
  <c r="P27" i="13"/>
  <c r="M28" i="13"/>
  <c r="P28" i="13"/>
  <c r="M29" i="13"/>
  <c r="P29" i="13"/>
  <c r="M30" i="13"/>
  <c r="P30" i="13"/>
  <c r="M31" i="13"/>
  <c r="P31" i="13"/>
  <c r="M32" i="13"/>
  <c r="P32" i="13"/>
  <c r="M37" i="13"/>
  <c r="P37" i="13"/>
  <c r="M38" i="13"/>
  <c r="P38" i="13"/>
  <c r="M39" i="13"/>
  <c r="P39" i="13"/>
  <c r="M40" i="13"/>
  <c r="P40" i="13"/>
  <c r="M41" i="13"/>
  <c r="P41" i="13"/>
  <c r="M42" i="13"/>
  <c r="P42" i="13"/>
  <c r="M43" i="13"/>
  <c r="P43" i="13"/>
  <c r="M49" i="13"/>
  <c r="P49" i="13"/>
  <c r="M50" i="13"/>
  <c r="P50" i="13"/>
  <c r="M51" i="13"/>
  <c r="P51" i="13"/>
  <c r="M52" i="13"/>
  <c r="P52" i="13"/>
  <c r="M53" i="13"/>
  <c r="P53" i="13"/>
  <c r="M54" i="13"/>
  <c r="P54" i="13"/>
  <c r="M55" i="13"/>
  <c r="P55" i="13"/>
  <c r="M56" i="13"/>
  <c r="P56" i="13"/>
  <c r="M57" i="13"/>
  <c r="P57" i="13"/>
  <c r="M58" i="13"/>
  <c r="P58" i="13"/>
  <c r="M59" i="13"/>
  <c r="P59" i="13"/>
  <c r="M60" i="13"/>
  <c r="P60" i="13"/>
  <c r="M61" i="13"/>
  <c r="P61" i="13"/>
  <c r="M62" i="13"/>
  <c r="P62" i="13"/>
  <c r="M63" i="13"/>
  <c r="P63" i="13"/>
  <c r="M64" i="13"/>
  <c r="P64" i="13"/>
  <c r="M65" i="13"/>
  <c r="P65" i="13"/>
  <c r="M66" i="13"/>
  <c r="P66" i="13"/>
  <c r="M67" i="13"/>
  <c r="P67" i="13"/>
  <c r="M68" i="13"/>
  <c r="P68" i="13"/>
  <c r="M69" i="13"/>
  <c r="P69" i="13"/>
  <c r="M71" i="13"/>
  <c r="P71" i="13"/>
  <c r="M72" i="13"/>
  <c r="P72" i="13"/>
  <c r="M73" i="13"/>
  <c r="P73" i="13"/>
  <c r="M74" i="13"/>
  <c r="P74" i="13"/>
  <c r="M75" i="13"/>
  <c r="P75" i="13"/>
  <c r="M76" i="13"/>
  <c r="P76" i="13"/>
  <c r="M77" i="13"/>
  <c r="P77" i="13"/>
  <c r="M78" i="13"/>
  <c r="P78" i="13"/>
  <c r="M79" i="13"/>
  <c r="P79" i="13"/>
  <c r="M80" i="13"/>
  <c r="P80" i="13"/>
  <c r="M81" i="13"/>
  <c r="P81" i="13"/>
  <c r="M82" i="13"/>
  <c r="P82" i="13"/>
  <c r="M83" i="13"/>
  <c r="P83" i="13"/>
  <c r="M84" i="13"/>
  <c r="P84" i="13"/>
  <c r="M85" i="13"/>
  <c r="P85" i="13"/>
  <c r="M86" i="13"/>
  <c r="P86" i="13"/>
  <c r="M91" i="13"/>
  <c r="P91" i="13"/>
  <c r="M92" i="13"/>
  <c r="P92" i="13"/>
  <c r="M44" i="13"/>
  <c r="P44" i="13"/>
  <c r="M45" i="13"/>
  <c r="P45" i="13"/>
  <c r="M46" i="13"/>
  <c r="P46" i="13"/>
  <c r="M47" i="13"/>
  <c r="P47" i="13"/>
  <c r="M48" i="13"/>
  <c r="P48" i="13"/>
  <c r="M194" i="13"/>
  <c r="P194" i="13"/>
  <c r="M97" i="13"/>
  <c r="P97" i="13"/>
  <c r="M98" i="13"/>
  <c r="P98" i="13"/>
  <c r="M99" i="13"/>
  <c r="P99" i="13"/>
  <c r="M100" i="13"/>
  <c r="P100" i="13"/>
  <c r="M101" i="13"/>
  <c r="P101" i="13"/>
  <c r="M93" i="13"/>
  <c r="P93" i="13"/>
  <c r="M94" i="13"/>
  <c r="P94" i="13"/>
  <c r="M95" i="13"/>
  <c r="P95" i="13"/>
  <c r="M96" i="13"/>
  <c r="P96" i="13"/>
  <c r="M110" i="13"/>
  <c r="P110" i="13"/>
  <c r="M106" i="13"/>
  <c r="P106" i="13"/>
  <c r="M107" i="13"/>
  <c r="P107" i="13"/>
  <c r="M108" i="13"/>
  <c r="P108" i="13"/>
  <c r="M109" i="13"/>
  <c r="P109" i="13"/>
  <c r="M103" i="13"/>
  <c r="P103" i="13"/>
  <c r="M104" i="13"/>
  <c r="P104" i="13"/>
  <c r="M105" i="13"/>
  <c r="P105" i="13"/>
  <c r="M102" i="13"/>
  <c r="P102" i="13"/>
  <c r="M90" i="13"/>
  <c r="P90" i="13"/>
  <c r="M70" i="13"/>
  <c r="P70" i="13"/>
  <c r="M87" i="13"/>
  <c r="P87" i="13"/>
  <c r="M88" i="13"/>
  <c r="P88" i="13"/>
  <c r="M89" i="13"/>
  <c r="P89" i="13"/>
  <c r="P111" i="13"/>
  <c r="M112" i="13"/>
  <c r="P112" i="13"/>
  <c r="M113" i="13"/>
  <c r="P113" i="13"/>
  <c r="P114" i="13"/>
  <c r="M115" i="13"/>
  <c r="P115" i="13"/>
  <c r="M116" i="13"/>
  <c r="P116" i="13"/>
  <c r="M117" i="13"/>
  <c r="P117" i="13"/>
  <c r="P118" i="13"/>
  <c r="M119" i="13"/>
  <c r="P119" i="13"/>
  <c r="M120" i="13"/>
  <c r="P120" i="13"/>
  <c r="M121" i="13"/>
  <c r="P121" i="13"/>
  <c r="P122" i="13"/>
  <c r="M123" i="13"/>
  <c r="P123" i="13"/>
  <c r="M124" i="13"/>
  <c r="P124" i="13"/>
  <c r="P125" i="13"/>
  <c r="M126" i="13"/>
  <c r="P126" i="13"/>
  <c r="M127" i="13"/>
  <c r="P127" i="13"/>
  <c r="P128" i="13"/>
  <c r="M129" i="13"/>
  <c r="P129" i="13"/>
  <c r="M130" i="13"/>
  <c r="P130" i="13"/>
  <c r="M131" i="13"/>
  <c r="P131" i="13"/>
  <c r="P132" i="13"/>
  <c r="M133" i="13"/>
  <c r="P133" i="13"/>
  <c r="M134" i="13"/>
  <c r="P134" i="13"/>
  <c r="P135" i="13"/>
  <c r="P136" i="13"/>
  <c r="P137" i="13"/>
  <c r="M138" i="13"/>
  <c r="P138" i="13"/>
  <c r="M139" i="13"/>
  <c r="P139" i="13"/>
  <c r="M140" i="13"/>
  <c r="P140" i="13"/>
  <c r="M141" i="13"/>
  <c r="P141" i="13"/>
  <c r="M142" i="13"/>
  <c r="P142" i="13"/>
  <c r="M143" i="13"/>
  <c r="P143" i="13"/>
  <c r="M144" i="13"/>
  <c r="P144" i="13"/>
  <c r="M145" i="13"/>
  <c r="P145" i="13"/>
  <c r="M146" i="13"/>
  <c r="P146" i="13"/>
  <c r="M147" i="13"/>
  <c r="P147" i="13"/>
  <c r="M148" i="13"/>
  <c r="P148" i="13"/>
  <c r="M149" i="13"/>
  <c r="P149" i="13"/>
  <c r="M150" i="13"/>
  <c r="P150" i="13"/>
  <c r="P152" i="13"/>
  <c r="M153" i="13"/>
  <c r="P153" i="13"/>
  <c r="M154" i="13"/>
  <c r="P154" i="13"/>
  <c r="M155" i="13"/>
  <c r="P155" i="13"/>
  <c r="P156" i="13"/>
  <c r="M157" i="13"/>
  <c r="P157" i="13"/>
  <c r="M158" i="13"/>
  <c r="P158" i="13"/>
  <c r="M159" i="13"/>
  <c r="P159" i="13"/>
  <c r="M160" i="13"/>
  <c r="P160" i="13"/>
  <c r="M163" i="13"/>
  <c r="P163" i="13"/>
  <c r="M164" i="13"/>
  <c r="P164" i="13"/>
  <c r="M165" i="13"/>
  <c r="P165" i="13"/>
  <c r="M166" i="13"/>
  <c r="P166" i="13"/>
  <c r="M167" i="13"/>
  <c r="P167" i="13"/>
  <c r="M168" i="13"/>
  <c r="P168" i="13"/>
  <c r="M169" i="13"/>
  <c r="P169" i="13"/>
  <c r="M170" i="13"/>
  <c r="P170" i="13"/>
  <c r="M171" i="13"/>
  <c r="P171" i="13"/>
  <c r="M172" i="13"/>
  <c r="P172" i="13"/>
  <c r="M151" i="13"/>
  <c r="P151" i="13"/>
  <c r="M177" i="13"/>
  <c r="P177" i="13"/>
  <c r="M178" i="13"/>
  <c r="P178" i="13"/>
  <c r="M173" i="13"/>
  <c r="P173" i="13"/>
  <c r="M174" i="13"/>
  <c r="P174" i="13"/>
  <c r="M175" i="13"/>
  <c r="P175" i="13"/>
  <c r="M176" i="13"/>
  <c r="P176" i="13"/>
  <c r="M179" i="13"/>
  <c r="P179" i="13"/>
  <c r="M180" i="13"/>
  <c r="P180" i="13"/>
  <c r="M181" i="13"/>
  <c r="P181" i="13"/>
  <c r="M182" i="13"/>
  <c r="P182" i="13"/>
  <c r="M183" i="13"/>
  <c r="P183" i="13"/>
  <c r="M184" i="13"/>
  <c r="P184" i="13"/>
  <c r="M185" i="13"/>
  <c r="P185" i="13"/>
  <c r="M186" i="13"/>
  <c r="P186" i="13"/>
  <c r="M187" i="13"/>
  <c r="P187" i="13"/>
  <c r="M188" i="13"/>
  <c r="P188" i="13"/>
  <c r="M189" i="13"/>
  <c r="P189" i="13"/>
  <c r="M190" i="13"/>
  <c r="P190" i="13"/>
  <c r="M191" i="13"/>
  <c r="P191" i="13"/>
  <c r="M192" i="13"/>
  <c r="P192" i="13"/>
  <c r="M193" i="13"/>
  <c r="P193" i="13"/>
  <c r="M195" i="13"/>
  <c r="P195" i="13"/>
  <c r="M196" i="13"/>
  <c r="P196" i="13"/>
  <c r="M197" i="13"/>
  <c r="P197" i="13"/>
  <c r="M198" i="13"/>
  <c r="P198" i="13"/>
  <c r="M199" i="13"/>
  <c r="P199" i="13"/>
  <c r="M200" i="13"/>
  <c r="P200" i="13"/>
  <c r="M201" i="13"/>
  <c r="P201" i="13"/>
  <c r="M202" i="13"/>
  <c r="P202" i="13"/>
  <c r="M203" i="13"/>
  <c r="P203" i="13"/>
  <c r="P3" i="37"/>
  <c r="M4" i="37"/>
  <c r="P4" i="37"/>
  <c r="M5" i="37"/>
  <c r="P5" i="37"/>
  <c r="M6" i="37"/>
  <c r="P6" i="37"/>
  <c r="M7" i="37"/>
  <c r="P7" i="37"/>
  <c r="M8" i="37"/>
  <c r="P8" i="37"/>
  <c r="M9" i="37"/>
  <c r="P9" i="37"/>
  <c r="M10" i="37"/>
  <c r="P10" i="37"/>
  <c r="M11" i="37"/>
  <c r="P11" i="37"/>
  <c r="M12" i="37"/>
  <c r="P12" i="37"/>
  <c r="M13" i="37"/>
  <c r="P13" i="37"/>
  <c r="M14" i="37"/>
  <c r="P14" i="37"/>
  <c r="M15" i="37"/>
  <c r="P15" i="37"/>
  <c r="M16" i="37"/>
  <c r="P16" i="37"/>
  <c r="M17" i="37"/>
  <c r="P17" i="37"/>
  <c r="P3" i="35"/>
  <c r="M4" i="35"/>
  <c r="M5" i="35"/>
  <c r="P5" i="35"/>
  <c r="M6" i="35"/>
  <c r="P6" i="35"/>
  <c r="M7" i="35"/>
  <c r="P7" i="35"/>
  <c r="M8" i="35"/>
  <c r="P8" i="35"/>
  <c r="M9" i="35"/>
  <c r="P9" i="35"/>
  <c r="M10" i="35"/>
  <c r="P10" i="35"/>
  <c r="M11" i="35"/>
  <c r="P11" i="35"/>
  <c r="M12" i="35"/>
  <c r="P12" i="35"/>
  <c r="M13" i="35"/>
  <c r="P13" i="35"/>
  <c r="M14" i="35"/>
  <c r="P14" i="35"/>
  <c r="M16" i="35"/>
  <c r="P16" i="35"/>
  <c r="M17" i="35"/>
  <c r="P17" i="35"/>
  <c r="M18" i="35"/>
  <c r="P18" i="35"/>
  <c r="M19" i="35"/>
  <c r="P19" i="35"/>
  <c r="M20" i="35"/>
  <c r="P20" i="35"/>
  <c r="M21" i="35"/>
  <c r="P21" i="35"/>
  <c r="M22" i="35"/>
  <c r="P22" i="35"/>
  <c r="M23" i="35"/>
  <c r="P23" i="35"/>
  <c r="M24" i="35"/>
  <c r="P24" i="35"/>
  <c r="M25" i="35"/>
  <c r="P25" i="35"/>
  <c r="M26" i="35"/>
  <c r="P26" i="35"/>
  <c r="M27" i="35"/>
  <c r="P27" i="35"/>
  <c r="P28" i="35"/>
  <c r="M29" i="35"/>
  <c r="P29" i="35"/>
  <c r="M30" i="35"/>
  <c r="P30" i="35"/>
  <c r="M31" i="35"/>
  <c r="P31" i="35"/>
  <c r="M32" i="35"/>
  <c r="P32" i="35"/>
  <c r="M33" i="35"/>
  <c r="P33" i="35"/>
  <c r="M34" i="35"/>
  <c r="P34" i="35"/>
  <c r="M35" i="35"/>
  <c r="P35" i="35"/>
  <c r="M36" i="35"/>
  <c r="P36" i="35"/>
  <c r="M37" i="35"/>
  <c r="P37" i="35"/>
  <c r="M38" i="35"/>
  <c r="P38" i="35"/>
  <c r="M39" i="35"/>
  <c r="P39" i="35"/>
  <c r="M40" i="35"/>
  <c r="P40" i="35"/>
  <c r="M41" i="35"/>
  <c r="P41" i="35"/>
  <c r="M42" i="35"/>
  <c r="P42" i="35"/>
  <c r="M43" i="35"/>
  <c r="P43" i="35"/>
  <c r="M44" i="35"/>
  <c r="P44" i="35"/>
  <c r="M45" i="35"/>
  <c r="P45" i="35"/>
  <c r="M46" i="35"/>
  <c r="P46" i="35"/>
  <c r="M47" i="35"/>
  <c r="P47" i="35"/>
  <c r="M48" i="35"/>
  <c r="P48" i="35"/>
  <c r="M49" i="35"/>
  <c r="P49" i="35"/>
  <c r="M50" i="35"/>
  <c r="P50" i="35"/>
  <c r="M51" i="35"/>
  <c r="P51" i="35"/>
  <c r="M52" i="35"/>
  <c r="P52" i="35"/>
  <c r="M53" i="35"/>
  <c r="P53" i="35"/>
  <c r="M54" i="35"/>
  <c r="P54" i="35"/>
  <c r="M55" i="35"/>
  <c r="P55" i="35"/>
  <c r="M56" i="35"/>
  <c r="P56" i="35"/>
  <c r="M57" i="35"/>
  <c r="P57" i="35"/>
  <c r="M58" i="35"/>
  <c r="P58" i="35"/>
  <c r="M59" i="35"/>
  <c r="P59" i="35"/>
  <c r="M60" i="35"/>
  <c r="P60" i="35"/>
  <c r="M61" i="35"/>
  <c r="P61" i="35"/>
  <c r="M62" i="35"/>
  <c r="P62" i="35"/>
  <c r="M63" i="35"/>
  <c r="P63" i="35"/>
  <c r="M64" i="35"/>
  <c r="P64" i="35"/>
  <c r="P65" i="35"/>
  <c r="M66" i="35"/>
  <c r="P66" i="35"/>
  <c r="M67" i="35"/>
  <c r="P67" i="35"/>
  <c r="P68" i="35"/>
  <c r="P69" i="35"/>
  <c r="M70" i="35"/>
  <c r="P70" i="35"/>
  <c r="M71" i="35"/>
  <c r="P71" i="35"/>
  <c r="P72" i="35"/>
  <c r="M73" i="35"/>
  <c r="P73" i="35"/>
  <c r="M74" i="35"/>
  <c r="P74" i="35"/>
  <c r="M75" i="35"/>
  <c r="P75" i="35"/>
  <c r="P3" i="34"/>
  <c r="M4" i="34"/>
  <c r="P4" i="34"/>
  <c r="P5" i="34"/>
  <c r="M6" i="34"/>
  <c r="P6" i="34"/>
  <c r="M7" i="34"/>
  <c r="P7" i="34"/>
  <c r="P8" i="34"/>
  <c r="M9" i="34"/>
  <c r="P9" i="34"/>
  <c r="M10" i="34"/>
  <c r="P10" i="34"/>
  <c r="M11" i="34"/>
  <c r="P11" i="34"/>
  <c r="M12" i="34"/>
  <c r="P12" i="34"/>
  <c r="M13" i="34"/>
  <c r="P13" i="34"/>
  <c r="M14" i="34"/>
  <c r="P14" i="34"/>
  <c r="P15" i="34"/>
  <c r="M16" i="34"/>
  <c r="P16" i="34"/>
  <c r="M17" i="34"/>
  <c r="P17" i="34"/>
  <c r="M18" i="34"/>
  <c r="P18" i="34"/>
  <c r="M19" i="34"/>
  <c r="P19" i="34"/>
  <c r="H20" i="34"/>
  <c r="P20" i="34"/>
  <c r="H21" i="34"/>
  <c r="K21" i="34"/>
  <c r="P21" i="34"/>
  <c r="H22" i="34"/>
  <c r="P22" i="34"/>
  <c r="H23" i="34"/>
  <c r="P23" i="34"/>
  <c r="J24" i="34"/>
  <c r="P24" i="34"/>
  <c r="J25" i="34"/>
  <c r="P25" i="34"/>
  <c r="J26" i="34"/>
  <c r="P26" i="34"/>
  <c r="J27" i="34"/>
  <c r="P27" i="34"/>
  <c r="J28" i="34"/>
  <c r="P28" i="34"/>
  <c r="J29" i="34"/>
  <c r="P29" i="34"/>
  <c r="H30" i="34"/>
  <c r="P30" i="34"/>
  <c r="H31" i="34"/>
  <c r="K31" i="34"/>
  <c r="P31" i="34"/>
  <c r="H32" i="34"/>
  <c r="K32" i="34"/>
  <c r="P32" i="34"/>
  <c r="H33" i="34"/>
  <c r="K33" i="34"/>
  <c r="P33" i="34"/>
  <c r="J34" i="34"/>
  <c r="P34" i="34"/>
  <c r="J35" i="34"/>
  <c r="P35" i="34"/>
  <c r="J36" i="34"/>
  <c r="P36" i="34"/>
  <c r="H37" i="34"/>
  <c r="K37" i="34"/>
  <c r="P37" i="34"/>
  <c r="M3" i="33"/>
  <c r="P3" i="33"/>
  <c r="M4" i="33"/>
  <c r="P4" i="33"/>
  <c r="M5" i="33"/>
  <c r="P5" i="33"/>
  <c r="M6" i="33"/>
  <c r="P6" i="33"/>
  <c r="M7" i="33"/>
  <c r="P7" i="33"/>
  <c r="M8" i="33"/>
  <c r="P8" i="33"/>
  <c r="M9" i="33"/>
  <c r="P9" i="33"/>
  <c r="M10" i="33"/>
  <c r="P10" i="33"/>
  <c r="M11" i="33"/>
  <c r="P11" i="33"/>
  <c r="M13" i="33"/>
  <c r="P13" i="33"/>
  <c r="M14" i="33"/>
  <c r="P14" i="33"/>
  <c r="M15" i="33"/>
  <c r="P15" i="33"/>
  <c r="M16" i="33"/>
  <c r="P16" i="33"/>
  <c r="M17" i="33"/>
  <c r="P17" i="33"/>
  <c r="M27" i="33"/>
  <c r="P27" i="33"/>
  <c r="M28" i="33"/>
  <c r="P28" i="33"/>
  <c r="M29" i="33"/>
  <c r="P29" i="33"/>
  <c r="M33" i="33"/>
  <c r="P33" i="33"/>
  <c r="M34" i="33"/>
  <c r="P34" i="33"/>
  <c r="M35" i="33"/>
  <c r="P35" i="33"/>
  <c r="M36" i="33"/>
  <c r="P36" i="33"/>
  <c r="M37" i="33"/>
  <c r="P37" i="33"/>
  <c r="M38" i="33"/>
  <c r="P38" i="33"/>
  <c r="M39" i="33"/>
  <c r="P39" i="33"/>
  <c r="M40" i="33"/>
  <c r="P40" i="33"/>
  <c r="M41" i="33"/>
  <c r="P41" i="33"/>
  <c r="M42" i="33"/>
  <c r="P42" i="33"/>
  <c r="M43" i="33"/>
  <c r="P43" i="33"/>
  <c r="M44" i="33"/>
  <c r="P44" i="33"/>
  <c r="M45" i="33"/>
  <c r="P45" i="33"/>
  <c r="M46" i="33"/>
  <c r="P46" i="33"/>
  <c r="M47" i="33"/>
  <c r="P47" i="33"/>
  <c r="M48" i="33"/>
  <c r="P48" i="33"/>
  <c r="M49" i="33"/>
  <c r="P49" i="33"/>
  <c r="M50" i="33"/>
  <c r="P50" i="33"/>
  <c r="M51" i="33"/>
  <c r="P51" i="33"/>
  <c r="M52" i="33"/>
  <c r="P52" i="33"/>
  <c r="M53" i="33"/>
  <c r="P53" i="33"/>
  <c r="M54" i="33"/>
  <c r="P54" i="33"/>
  <c r="M55" i="33"/>
  <c r="P55" i="33"/>
  <c r="M56" i="33"/>
  <c r="P56" i="33"/>
  <c r="M58" i="33"/>
  <c r="P58" i="33"/>
  <c r="M59" i="33"/>
  <c r="P59" i="33"/>
  <c r="M60" i="33"/>
  <c r="P60" i="33"/>
  <c r="M61" i="33"/>
  <c r="P61" i="33"/>
  <c r="M62" i="33"/>
  <c r="P62" i="33"/>
  <c r="M63" i="33"/>
  <c r="P63" i="33"/>
  <c r="M65" i="33"/>
  <c r="P65" i="33"/>
  <c r="M66" i="33"/>
  <c r="P66" i="33"/>
  <c r="M67" i="33"/>
  <c r="P67" i="33"/>
  <c r="M68" i="33"/>
  <c r="P68" i="33"/>
  <c r="M69" i="33"/>
  <c r="P69" i="33"/>
  <c r="M70" i="33"/>
  <c r="P70" i="33"/>
  <c r="M72" i="33"/>
  <c r="P72" i="33"/>
  <c r="M73" i="33"/>
  <c r="P73" i="33"/>
  <c r="M74" i="33"/>
  <c r="P74" i="33"/>
  <c r="M75" i="33"/>
  <c r="P75" i="33"/>
  <c r="M76" i="33"/>
  <c r="P76" i="33"/>
  <c r="M77" i="33"/>
  <c r="P77" i="33"/>
  <c r="M79" i="33"/>
  <c r="P79" i="33"/>
  <c r="M80" i="33"/>
  <c r="P80" i="33"/>
  <c r="M81" i="33"/>
  <c r="P81" i="33"/>
  <c r="M82" i="33"/>
  <c r="P82" i="33"/>
  <c r="M83" i="33"/>
  <c r="P83" i="33"/>
  <c r="M84" i="33"/>
  <c r="P84" i="33"/>
  <c r="M86" i="33"/>
  <c r="P86" i="33"/>
  <c r="M87" i="33"/>
  <c r="P87" i="33"/>
  <c r="M88" i="33"/>
  <c r="P88" i="33"/>
  <c r="M89" i="33"/>
  <c r="P89" i="33"/>
  <c r="M90" i="33"/>
  <c r="P90" i="33"/>
  <c r="M91" i="33"/>
  <c r="P91" i="33"/>
  <c r="M93" i="33"/>
  <c r="P93" i="33"/>
  <c r="M94" i="33"/>
  <c r="P94" i="33"/>
  <c r="M95" i="33"/>
  <c r="P95" i="33"/>
  <c r="M96" i="33"/>
  <c r="P96" i="33"/>
  <c r="M97" i="33"/>
  <c r="P97" i="33"/>
  <c r="M98" i="33"/>
  <c r="P98" i="33"/>
  <c r="M100" i="33"/>
  <c r="P100" i="33"/>
  <c r="M101" i="33"/>
  <c r="P101" i="33"/>
  <c r="M102" i="33"/>
  <c r="P102" i="33"/>
  <c r="M103" i="33"/>
  <c r="P103" i="33"/>
  <c r="M104" i="33"/>
  <c r="P104" i="33"/>
  <c r="M105" i="33"/>
  <c r="P105" i="33"/>
  <c r="M107" i="33"/>
  <c r="P107" i="33"/>
  <c r="M108" i="33"/>
  <c r="P108" i="33"/>
  <c r="M109" i="33"/>
  <c r="P109" i="33"/>
  <c r="M110" i="33"/>
  <c r="P110" i="33"/>
  <c r="M111" i="33"/>
  <c r="P111" i="33"/>
  <c r="M113" i="33"/>
  <c r="P113" i="33"/>
  <c r="M114" i="33"/>
  <c r="P114" i="33"/>
  <c r="M115" i="33"/>
  <c r="P115" i="33"/>
  <c r="M116" i="33"/>
  <c r="P116" i="33"/>
  <c r="M117" i="33"/>
  <c r="P117" i="33"/>
  <c r="M119" i="33"/>
  <c r="P119" i="33"/>
  <c r="M120" i="33"/>
  <c r="P120" i="33"/>
  <c r="M121" i="33"/>
  <c r="P121" i="33"/>
  <c r="M122" i="33"/>
  <c r="P122" i="33"/>
  <c r="M123" i="33"/>
  <c r="P123" i="33"/>
  <c r="M125" i="33"/>
  <c r="P125" i="33"/>
  <c r="M126" i="33"/>
  <c r="P126" i="33"/>
  <c r="M127" i="33"/>
  <c r="P127" i="33"/>
  <c r="M128" i="33"/>
  <c r="P128" i="33"/>
  <c r="M129" i="33"/>
  <c r="P129" i="33"/>
  <c r="M131" i="33"/>
  <c r="P131" i="33"/>
  <c r="M132" i="33"/>
  <c r="P132" i="33"/>
  <c r="M133" i="33"/>
  <c r="P133" i="33"/>
  <c r="M134" i="33"/>
  <c r="P134" i="33"/>
  <c r="M135" i="33"/>
  <c r="P135" i="33"/>
  <c r="M137" i="33"/>
  <c r="P137" i="33"/>
  <c r="M138" i="33"/>
  <c r="P138" i="33"/>
  <c r="M139" i="33"/>
  <c r="P139" i="33"/>
  <c r="M140" i="33"/>
  <c r="P140" i="33"/>
  <c r="M141" i="33"/>
  <c r="P141" i="33"/>
  <c r="M143" i="33"/>
  <c r="P143" i="33"/>
  <c r="M144" i="33"/>
  <c r="P144" i="33"/>
  <c r="M145" i="33"/>
  <c r="P145" i="33"/>
  <c r="M146" i="33"/>
  <c r="P146" i="33"/>
  <c r="M147" i="33"/>
  <c r="P147" i="33"/>
  <c r="M148" i="33"/>
  <c r="P148" i="33"/>
  <c r="M150" i="33"/>
  <c r="P150" i="33"/>
  <c r="M151" i="33"/>
  <c r="P151" i="33"/>
  <c r="M152" i="33"/>
  <c r="P152" i="33"/>
  <c r="M153" i="33"/>
  <c r="P153" i="33"/>
  <c r="M154" i="33"/>
  <c r="P154" i="33"/>
  <c r="M156" i="33"/>
  <c r="P156" i="33"/>
  <c r="M157" i="33"/>
  <c r="P157" i="33"/>
  <c r="M158" i="33"/>
  <c r="P158" i="33"/>
  <c r="M159" i="33"/>
  <c r="P159" i="33"/>
  <c r="M160" i="33"/>
  <c r="P160" i="33"/>
  <c r="M162" i="33"/>
  <c r="P162" i="33"/>
  <c r="M163" i="33"/>
  <c r="P163" i="33"/>
  <c r="M164" i="33"/>
  <c r="P164" i="33"/>
  <c r="M165" i="33"/>
  <c r="P165" i="33"/>
  <c r="M166" i="33"/>
  <c r="P166" i="33"/>
  <c r="M168" i="33"/>
  <c r="P168" i="33"/>
  <c r="M169" i="33"/>
  <c r="P169" i="33"/>
  <c r="M170" i="33"/>
  <c r="P170" i="33"/>
  <c r="M171" i="33"/>
  <c r="P171" i="33"/>
  <c r="M172" i="33"/>
  <c r="P172" i="33"/>
  <c r="P173" i="33"/>
  <c r="M174" i="33"/>
  <c r="P174" i="33"/>
  <c r="M175" i="33"/>
  <c r="P175" i="33"/>
  <c r="M176" i="33"/>
  <c r="P176" i="33"/>
  <c r="M177" i="33"/>
  <c r="P177" i="33"/>
  <c r="J178" i="33"/>
  <c r="M178" i="33"/>
  <c r="P178" i="33"/>
  <c r="M180" i="33"/>
  <c r="P180" i="33"/>
  <c r="M181" i="33"/>
  <c r="P181" i="33"/>
  <c r="M182" i="33"/>
  <c r="P182" i="33"/>
  <c r="M183" i="33"/>
  <c r="P183" i="33"/>
  <c r="M184" i="33"/>
  <c r="P184" i="33"/>
  <c r="P3" i="31"/>
  <c r="R10" i="24" l="1"/>
  <c r="P12" i="24"/>
  <c r="P13" i="24" l="1"/>
  <c r="R11" i="24"/>
  <c r="P14" i="24" l="1"/>
  <c r="R12" i="24"/>
  <c r="P15" i="24" l="1"/>
  <c r="R13" i="24"/>
  <c r="R14" i="24" l="1"/>
  <c r="P16" i="24"/>
  <c r="P17" i="24" l="1"/>
  <c r="R15" i="24"/>
  <c r="R16" i="24" l="1"/>
  <c r="P18" i="24"/>
  <c r="P19" i="24" l="1"/>
  <c r="R17" i="24"/>
  <c r="R18" i="24" l="1"/>
  <c r="P20" i="24"/>
  <c r="P21" i="24" l="1"/>
  <c r="R19" i="24"/>
  <c r="R20" i="24" l="1"/>
  <c r="P22" i="24"/>
  <c r="P23" i="24" l="1"/>
  <c r="R21" i="24"/>
  <c r="R22" i="24" l="1"/>
  <c r="P24" i="24"/>
  <c r="P25" i="24" l="1"/>
  <c r="R23" i="24"/>
  <c r="R24" i="24" l="1"/>
  <c r="P26" i="24"/>
  <c r="P27" i="24" l="1"/>
  <c r="R25" i="24"/>
  <c r="R26" i="24" l="1"/>
  <c r="P28" i="24"/>
  <c r="P29" i="24" l="1"/>
  <c r="R27" i="24"/>
  <c r="R28" i="24" l="1"/>
  <c r="P30" i="24"/>
  <c r="P31" i="24" l="1"/>
  <c r="R29" i="24"/>
  <c r="R30" i="24" l="1"/>
  <c r="P32" i="24"/>
  <c r="P33" i="24" l="1"/>
  <c r="R31" i="24"/>
  <c r="R32" i="24" l="1"/>
  <c r="P34" i="24"/>
  <c r="P35" i="24" l="1"/>
  <c r="R33" i="24"/>
  <c r="R34" i="24" l="1"/>
  <c r="P36" i="24"/>
  <c r="J30" i="33" l="1"/>
  <c r="J23" i="33"/>
  <c r="J19" i="33"/>
  <c r="J125" i="31"/>
  <c r="J59" i="31"/>
  <c r="J115" i="31"/>
  <c r="J7" i="13"/>
  <c r="J74" i="13"/>
  <c r="J125" i="13"/>
  <c r="J185" i="13"/>
  <c r="J14" i="31"/>
  <c r="M77" i="31"/>
  <c r="J139" i="31"/>
  <c r="J23" i="13"/>
  <c r="J99" i="13"/>
  <c r="J146" i="13"/>
  <c r="J6" i="37"/>
  <c r="J54" i="35"/>
  <c r="J45" i="31"/>
  <c r="M104" i="31"/>
  <c r="J31" i="36"/>
  <c r="J59" i="13"/>
  <c r="J115" i="13"/>
  <c r="J172" i="13"/>
  <c r="J16" i="35"/>
  <c r="J60" i="31"/>
  <c r="J116" i="31"/>
  <c r="J12" i="13"/>
  <c r="J79" i="13"/>
  <c r="J132" i="13"/>
  <c r="J190" i="13"/>
  <c r="J186" i="33"/>
  <c r="J15" i="31"/>
  <c r="J79" i="31"/>
  <c r="J138" i="31"/>
  <c r="J22" i="13"/>
  <c r="J194" i="13"/>
  <c r="J139" i="13"/>
  <c r="J5" i="37"/>
  <c r="J34" i="31"/>
  <c r="J94" i="31"/>
  <c r="J22" i="36"/>
  <c r="J52" i="13"/>
  <c r="J89" i="13"/>
  <c r="J165" i="13"/>
  <c r="J11" i="35"/>
  <c r="J3" i="31"/>
  <c r="J65" i="31"/>
  <c r="J119" i="31"/>
  <c r="J13" i="13"/>
  <c r="J80" i="13"/>
  <c r="J129" i="13"/>
  <c r="J191" i="13"/>
  <c r="J16" i="31"/>
  <c r="J78" i="31"/>
  <c r="J4" i="36"/>
  <c r="J25" i="13"/>
  <c r="J101" i="13"/>
  <c r="J148" i="13"/>
  <c r="J8" i="37"/>
  <c r="J52" i="35"/>
  <c r="J19" i="31"/>
  <c r="J83" i="31"/>
  <c r="J5" i="36"/>
  <c r="J24" i="13"/>
  <c r="J100" i="13"/>
  <c r="J143" i="13"/>
  <c r="J9" i="37"/>
  <c r="J38" i="31"/>
  <c r="J96" i="31"/>
  <c r="J26" i="36"/>
  <c r="J56" i="13"/>
  <c r="J112" i="13"/>
  <c r="J169" i="13"/>
  <c r="J15" i="35"/>
  <c r="J5" i="31"/>
  <c r="J69" i="31"/>
  <c r="J128" i="31"/>
  <c r="J17" i="13"/>
  <c r="J84" i="13"/>
  <c r="M132" i="13"/>
  <c r="J196" i="13"/>
  <c r="J20" i="31"/>
  <c r="J82" i="31"/>
  <c r="J8" i="36"/>
  <c r="J29" i="13"/>
  <c r="J96" i="13"/>
  <c r="M152" i="13"/>
  <c r="J12" i="37"/>
  <c r="J161" i="13"/>
  <c r="J39" i="31"/>
  <c r="J99" i="31"/>
  <c r="J25" i="36"/>
  <c r="J53" i="13"/>
  <c r="J111" i="13"/>
  <c r="J166" i="13"/>
  <c r="J12" i="35"/>
  <c r="J58" i="31"/>
  <c r="J114" i="31"/>
  <c r="J10" i="13"/>
  <c r="J77" i="13"/>
  <c r="J130" i="13"/>
  <c r="J188" i="13"/>
  <c r="J34" i="35"/>
  <c r="J25" i="31"/>
  <c r="J87" i="31"/>
  <c r="J11" i="36"/>
  <c r="J30" i="13"/>
  <c r="J110" i="13"/>
  <c r="J149" i="13"/>
  <c r="J15" i="37"/>
  <c r="J40" i="31"/>
  <c r="J98" i="31"/>
  <c r="J28" i="36"/>
  <c r="J58" i="13"/>
  <c r="J114" i="13"/>
  <c r="J186" i="13"/>
  <c r="J70" i="35"/>
  <c r="J42" i="33"/>
  <c r="J94" i="33"/>
  <c r="P142" i="33"/>
  <c r="J23" i="35"/>
  <c r="J6" i="34"/>
  <c r="J28" i="33"/>
  <c r="J79" i="33"/>
  <c r="J129" i="33"/>
  <c r="J183" i="33"/>
  <c r="M25" i="34"/>
  <c r="J68" i="33"/>
  <c r="J118" i="33"/>
  <c r="J166" i="33"/>
  <c r="J51" i="35"/>
  <c r="J31" i="34"/>
  <c r="P71" i="33"/>
  <c r="J121" i="33"/>
  <c r="J169" i="33"/>
  <c r="M8" i="34"/>
  <c r="J38" i="33"/>
  <c r="J92" i="33"/>
  <c r="J140" i="33"/>
  <c r="J18" i="35"/>
  <c r="M3" i="34"/>
  <c r="J17" i="33"/>
  <c r="J77" i="33"/>
  <c r="J125" i="33"/>
  <c r="J177" i="33"/>
  <c r="M22" i="34"/>
  <c r="P64" i="33"/>
  <c r="J114" i="33"/>
  <c r="J162" i="33"/>
  <c r="J47" i="35"/>
  <c r="M28" i="34"/>
  <c r="J49" i="33"/>
  <c r="P99" i="33"/>
  <c r="J149" i="33"/>
  <c r="J179" i="33"/>
  <c r="J17" i="35"/>
  <c r="J19" i="34"/>
  <c r="J50" i="33"/>
  <c r="J100" i="33"/>
  <c r="M149" i="33"/>
  <c r="J29" i="35"/>
  <c r="J14" i="34"/>
  <c r="J47" i="33"/>
  <c r="J99" i="33"/>
  <c r="J147" i="33"/>
  <c r="J64" i="35"/>
  <c r="J14" i="33"/>
  <c r="J86" i="33"/>
  <c r="J136" i="33"/>
  <c r="J175" i="33"/>
  <c r="M72" i="35"/>
  <c r="M12" i="33"/>
  <c r="M78" i="33"/>
  <c r="J127" i="33"/>
  <c r="J32" i="34"/>
  <c r="J15" i="34"/>
  <c r="J46" i="33"/>
  <c r="J98" i="33"/>
  <c r="J146" i="33"/>
  <c r="J10" i="34"/>
  <c r="J95" i="33"/>
  <c r="J72" i="31"/>
  <c r="J84" i="33"/>
  <c r="J69" i="35"/>
  <c r="J81" i="33"/>
  <c r="J21" i="13"/>
  <c r="M118" i="33"/>
  <c r="J155" i="33"/>
  <c r="J31" i="33"/>
  <c r="J24" i="33"/>
  <c r="J20" i="33"/>
  <c r="J162" i="13"/>
  <c r="J43" i="31"/>
  <c r="J103" i="31"/>
  <c r="J29" i="36"/>
  <c r="J57" i="13"/>
  <c r="M114" i="13"/>
  <c r="J170" i="13"/>
  <c r="M15" i="35"/>
  <c r="J62" i="31"/>
  <c r="J118" i="31"/>
  <c r="J14" i="13"/>
  <c r="J81" i="13"/>
  <c r="J134" i="13"/>
  <c r="J192" i="13"/>
  <c r="J38" i="35"/>
  <c r="J29" i="31"/>
  <c r="J89" i="31"/>
  <c r="J15" i="36"/>
  <c r="J38" i="13"/>
  <c r="J109" i="13"/>
  <c r="J154" i="13"/>
  <c r="M3" i="35"/>
  <c r="J44" i="31"/>
  <c r="J102" i="31"/>
  <c r="J32" i="36"/>
  <c r="J62" i="13"/>
  <c r="J118" i="13"/>
  <c r="J178" i="13"/>
  <c r="J20" i="35"/>
  <c r="J33" i="13"/>
  <c r="J63" i="31"/>
  <c r="J117" i="31"/>
  <c r="J11" i="13"/>
  <c r="J78" i="13"/>
  <c r="M128" i="13"/>
  <c r="J189" i="13"/>
  <c r="J18" i="31"/>
  <c r="J80" i="31"/>
  <c r="J6" i="36"/>
  <c r="J27" i="13"/>
  <c r="J94" i="13"/>
  <c r="J150" i="13"/>
  <c r="J10" i="37"/>
  <c r="J58" i="35"/>
  <c r="J49" i="31"/>
  <c r="M106" i="31"/>
  <c r="J35" i="36"/>
  <c r="J63" i="13"/>
  <c r="M118" i="13"/>
  <c r="J173" i="13"/>
  <c r="J34" i="13"/>
  <c r="J64" i="31"/>
  <c r="J120" i="31"/>
  <c r="J16" i="13"/>
  <c r="J83" i="13"/>
  <c r="M135" i="13"/>
  <c r="J195" i="13"/>
  <c r="J36" i="35"/>
  <c r="J121" i="31"/>
  <c r="J67" i="31"/>
  <c r="J126" i="31"/>
  <c r="J15" i="13"/>
  <c r="J82" i="13"/>
  <c r="J131" i="13"/>
  <c r="J193" i="13"/>
  <c r="J22" i="31"/>
  <c r="J84" i="31"/>
  <c r="J10" i="36"/>
  <c r="J31" i="13"/>
  <c r="J106" i="13"/>
  <c r="J153" i="13"/>
  <c r="J14" i="37"/>
  <c r="J124" i="31"/>
  <c r="J53" i="31"/>
  <c r="J109" i="31"/>
  <c r="J3" i="13"/>
  <c r="J67" i="13"/>
  <c r="J121" i="13"/>
  <c r="J179" i="13"/>
  <c r="J4" i="31"/>
  <c r="J68" i="31"/>
  <c r="J129" i="31"/>
  <c r="P18" i="13"/>
  <c r="J91" i="13"/>
  <c r="M137" i="13"/>
  <c r="J199" i="13"/>
  <c r="J185" i="33"/>
  <c r="J23" i="31"/>
  <c r="M86" i="31"/>
  <c r="J9" i="36"/>
  <c r="J28" i="13"/>
  <c r="J95" i="13"/>
  <c r="J147" i="13"/>
  <c r="J13" i="37"/>
  <c r="J42" i="31"/>
  <c r="J100" i="31"/>
  <c r="J30" i="36"/>
  <c r="J60" i="13"/>
  <c r="J116" i="13"/>
  <c r="J151" i="13"/>
  <c r="J19" i="35"/>
  <c r="J9" i="31"/>
  <c r="J73" i="31"/>
  <c r="J132" i="31"/>
  <c r="J19" i="13"/>
  <c r="J92" i="13"/>
  <c r="J135" i="13"/>
  <c r="J200" i="13"/>
  <c r="J24" i="31"/>
  <c r="J86" i="31"/>
  <c r="J12" i="36"/>
  <c r="J37" i="13"/>
  <c r="J108" i="13"/>
  <c r="J155" i="13"/>
  <c r="J60" i="35"/>
  <c r="J10" i="33"/>
  <c r="J82" i="33"/>
  <c r="P130" i="33"/>
  <c r="J180" i="33"/>
  <c r="M68" i="35"/>
  <c r="J7" i="33"/>
  <c r="J67" i="33"/>
  <c r="J117" i="33"/>
  <c r="J165" i="33"/>
  <c r="J9" i="34"/>
  <c r="J56" i="33"/>
  <c r="J106" i="33"/>
  <c r="J154" i="33"/>
  <c r="J35" i="35"/>
  <c r="J18" i="34"/>
  <c r="J59" i="33"/>
  <c r="J109" i="33"/>
  <c r="J157" i="33"/>
  <c r="J68" i="35"/>
  <c r="J27" i="33"/>
  <c r="P78" i="33"/>
  <c r="J128" i="33"/>
  <c r="J176" i="33"/>
  <c r="J65" i="35"/>
  <c r="J3" i="33"/>
  <c r="M64" i="33"/>
  <c r="J113" i="33"/>
  <c r="P161" i="33"/>
  <c r="J7" i="34"/>
  <c r="J52" i="33"/>
  <c r="J102" i="33"/>
  <c r="J150" i="33"/>
  <c r="J31" i="35"/>
  <c r="M15" i="34"/>
  <c r="J33" i="33"/>
  <c r="J87" i="33"/>
  <c r="M136" i="33"/>
  <c r="M72" i="31"/>
  <c r="J203" i="13"/>
  <c r="J5" i="34"/>
  <c r="J34" i="33"/>
  <c r="J88" i="33"/>
  <c r="P136" i="33"/>
  <c r="P179" i="33"/>
  <c r="J73" i="35"/>
  <c r="J13" i="33"/>
  <c r="P85" i="33"/>
  <c r="J135" i="33"/>
  <c r="M32" i="34"/>
  <c r="M34" i="34"/>
  <c r="J74" i="33"/>
  <c r="J124" i="33"/>
  <c r="J172" i="33"/>
  <c r="J59" i="35"/>
  <c r="M35" i="34"/>
  <c r="J65" i="33"/>
  <c r="J115" i="33"/>
  <c r="J163" i="33"/>
  <c r="J74" i="35"/>
  <c r="J29" i="33"/>
  <c r="M85" i="33"/>
  <c r="J134" i="33"/>
  <c r="J184" i="33"/>
  <c r="J71" i="35"/>
  <c r="J11" i="33"/>
  <c r="J83" i="33"/>
  <c r="J131" i="33"/>
  <c r="J21" i="34"/>
  <c r="M29" i="34"/>
  <c r="M71" i="33"/>
  <c r="J120" i="33"/>
  <c r="J168" i="33"/>
  <c r="J55" i="35"/>
  <c r="J33" i="34"/>
  <c r="J167" i="33"/>
  <c r="J25" i="33"/>
  <c r="J21" i="33"/>
  <c r="J187" i="33"/>
  <c r="J27" i="31"/>
  <c r="M88" i="31"/>
  <c r="J13" i="36"/>
  <c r="J32" i="13"/>
  <c r="J107" i="13"/>
  <c r="J152" i="13"/>
  <c r="J17" i="37"/>
  <c r="J46" i="31"/>
  <c r="J104" i="31"/>
  <c r="J34" i="36"/>
  <c r="J64" i="13"/>
  <c r="J120" i="13"/>
  <c r="J174" i="13"/>
  <c r="J22" i="35"/>
  <c r="J13" i="31"/>
  <c r="J77" i="31"/>
  <c r="J136" i="31"/>
  <c r="M20" i="13"/>
  <c r="J47" i="13"/>
  <c r="J137" i="13"/>
  <c r="J3" i="37"/>
  <c r="J28" i="31"/>
  <c r="J88" i="31"/>
  <c r="J16" i="36"/>
  <c r="J41" i="13"/>
  <c r="J105" i="13"/>
  <c r="J157" i="13"/>
  <c r="J5" i="35"/>
  <c r="J36" i="13"/>
  <c r="J47" i="31"/>
  <c r="J105" i="31"/>
  <c r="J33" i="36"/>
  <c r="J61" i="13"/>
  <c r="J117" i="13"/>
  <c r="J177" i="13"/>
  <c r="J35" i="13"/>
  <c r="J66" i="31"/>
  <c r="J127" i="31"/>
  <c r="J18" i="13"/>
  <c r="J85" i="13"/>
  <c r="J136" i="13"/>
  <c r="J197" i="13"/>
  <c r="J42" i="35"/>
  <c r="J33" i="31"/>
  <c r="J93" i="31"/>
  <c r="J19" i="36"/>
  <c r="J42" i="13"/>
  <c r="J102" i="13"/>
  <c r="J158" i="13"/>
  <c r="J6" i="35"/>
  <c r="J48" i="31"/>
  <c r="M105" i="31"/>
  <c r="J36" i="36"/>
  <c r="J66" i="13"/>
  <c r="J122" i="13"/>
  <c r="J176" i="13"/>
  <c r="J24" i="35"/>
  <c r="J32" i="33"/>
  <c r="J51" i="31"/>
  <c r="J107" i="31"/>
  <c r="J37" i="36"/>
  <c r="J65" i="13"/>
  <c r="J119" i="13"/>
  <c r="J175" i="13"/>
  <c r="J6" i="31"/>
  <c r="J70" i="31"/>
  <c r="J131" i="31"/>
  <c r="M19" i="13"/>
  <c r="J44" i="13"/>
  <c r="J138" i="13"/>
  <c r="J201" i="13"/>
  <c r="J46" i="35"/>
  <c r="J37" i="31"/>
  <c r="J97" i="31"/>
  <c r="J23" i="36"/>
  <c r="J51" i="13"/>
  <c r="J88" i="13"/>
  <c r="J164" i="13"/>
  <c r="J10" i="35"/>
  <c r="J52" i="31"/>
  <c r="J108" i="31"/>
  <c r="J4" i="13"/>
  <c r="J71" i="13"/>
  <c r="M125" i="13"/>
  <c r="J182" i="13"/>
  <c r="J28" i="35"/>
  <c r="J7" i="31"/>
  <c r="J71" i="31"/>
  <c r="J130" i="31"/>
  <c r="M18" i="13"/>
  <c r="J86" i="13"/>
  <c r="J133" i="13"/>
  <c r="J198" i="13"/>
  <c r="J26" i="31"/>
  <c r="M87" i="31"/>
  <c r="J14" i="36"/>
  <c r="J39" i="13"/>
  <c r="J103" i="13"/>
  <c r="M156" i="13"/>
  <c r="J3" i="35"/>
  <c r="J122" i="31"/>
  <c r="J57" i="31"/>
  <c r="J113" i="31"/>
  <c r="J5" i="13"/>
  <c r="J72" i="13"/>
  <c r="J123" i="13"/>
  <c r="J183" i="13"/>
  <c r="J8" i="31"/>
  <c r="M71" i="31"/>
  <c r="J133" i="31"/>
  <c r="J20" i="13"/>
  <c r="J46" i="13"/>
  <c r="J140" i="13"/>
  <c r="J32" i="35"/>
  <c r="M27" i="34"/>
  <c r="J70" i="33"/>
  <c r="P118" i="33"/>
  <c r="M167" i="33"/>
  <c r="J53" i="35"/>
  <c r="M31" i="34"/>
  <c r="J55" i="33"/>
  <c r="J105" i="33"/>
  <c r="J153" i="33"/>
  <c r="M69" i="35"/>
  <c r="J40" i="33"/>
  <c r="P92" i="33"/>
  <c r="J142" i="33"/>
  <c r="J21" i="35"/>
  <c r="J4" i="34"/>
  <c r="J45" i="33"/>
  <c r="J97" i="33"/>
  <c r="J145" i="33"/>
  <c r="J56" i="35"/>
  <c r="J6" i="33"/>
  <c r="J66" i="33"/>
  <c r="J116" i="33"/>
  <c r="J164" i="33"/>
  <c r="J49" i="35"/>
  <c r="J30" i="34"/>
  <c r="J51" i="33"/>
  <c r="J101" i="33"/>
  <c r="P149" i="33"/>
  <c r="J66" i="35"/>
  <c r="J36" i="33"/>
  <c r="J90" i="33"/>
  <c r="J138" i="33"/>
  <c r="J181" i="33"/>
  <c r="J75" i="35"/>
  <c r="J15" i="33"/>
  <c r="J75" i="33"/>
  <c r="M124" i="33"/>
  <c r="J173" i="33"/>
  <c r="J171" i="13"/>
  <c r="M65" i="35"/>
  <c r="J16" i="33"/>
  <c r="J76" i="33"/>
  <c r="P124" i="33"/>
  <c r="M173" i="33"/>
  <c r="J61" i="35"/>
  <c r="J37" i="34"/>
  <c r="J73" i="33"/>
  <c r="J123" i="33"/>
  <c r="J171" i="33"/>
  <c r="J17" i="34"/>
  <c r="J62" i="33"/>
  <c r="J112" i="33"/>
  <c r="J160" i="33"/>
  <c r="J43" i="35"/>
  <c r="M24" i="34"/>
  <c r="J53" i="33"/>
  <c r="J103" i="33"/>
  <c r="J151" i="33"/>
  <c r="J62" i="35"/>
  <c r="P12" i="33"/>
  <c r="J72" i="33"/>
  <c r="J122" i="33"/>
  <c r="J170" i="33"/>
  <c r="J57" i="35"/>
  <c r="M33" i="34"/>
  <c r="J71" i="33"/>
  <c r="J119" i="33"/>
  <c r="P167" i="33"/>
  <c r="J13" i="34"/>
  <c r="J58" i="33"/>
  <c r="J108" i="33"/>
  <c r="J156" i="33"/>
  <c r="J39" i="35"/>
  <c r="J22" i="34"/>
  <c r="J57" i="33"/>
  <c r="R35" i="24"/>
  <c r="J26" i="33"/>
  <c r="J22" i="33"/>
  <c r="J18" i="33"/>
  <c r="J11" i="31"/>
  <c r="J75" i="31"/>
  <c r="J134" i="31"/>
  <c r="P19" i="13"/>
  <c r="J45" i="13"/>
  <c r="M136" i="13"/>
  <c r="J202" i="13"/>
  <c r="J30" i="31"/>
  <c r="J90" i="31"/>
  <c r="J18" i="36"/>
  <c r="J43" i="13"/>
  <c r="J90" i="13"/>
  <c r="J159" i="13"/>
  <c r="J7" i="35"/>
  <c r="M121" i="31"/>
  <c r="J61" i="31"/>
  <c r="M116" i="31"/>
  <c r="J9" i="13"/>
  <c r="J76" i="13"/>
  <c r="J127" i="13"/>
  <c r="J187" i="13"/>
  <c r="J12" i="31"/>
  <c r="M75" i="31"/>
  <c r="J137" i="31"/>
  <c r="M22" i="13"/>
  <c r="J97" i="13"/>
  <c r="J144" i="13"/>
  <c r="J4" i="37"/>
  <c r="J76" i="35"/>
  <c r="J31" i="31"/>
  <c r="J91" i="31"/>
  <c r="J17" i="36"/>
  <c r="J40" i="13"/>
  <c r="J104" i="13"/>
  <c r="J156" i="13"/>
  <c r="J4" i="35"/>
  <c r="J50" i="31"/>
  <c r="J106" i="31"/>
  <c r="J38" i="36"/>
  <c r="J68" i="13"/>
  <c r="J124" i="13"/>
  <c r="J180" i="13"/>
  <c r="J26" i="35"/>
  <c r="J17" i="31"/>
  <c r="J81" i="31"/>
  <c r="J3" i="36"/>
  <c r="P22" i="13"/>
  <c r="J98" i="13"/>
  <c r="J141" i="13"/>
  <c r="J7" i="37"/>
  <c r="J32" i="31"/>
  <c r="J92" i="31"/>
  <c r="J20" i="36"/>
  <c r="J50" i="13"/>
  <c r="J87" i="13"/>
  <c r="J163" i="13"/>
  <c r="J9" i="35"/>
  <c r="J77" i="35"/>
  <c r="J35" i="31"/>
  <c r="J95" i="31"/>
  <c r="J21" i="36"/>
  <c r="J49" i="13"/>
  <c r="J70" i="13"/>
  <c r="J160" i="13"/>
  <c r="J8" i="35"/>
  <c r="J54" i="31"/>
  <c r="J110" i="31"/>
  <c r="J6" i="13"/>
  <c r="J73" i="13"/>
  <c r="J126" i="13"/>
  <c r="J184" i="13"/>
  <c r="J30" i="35"/>
  <c r="J21" i="31"/>
  <c r="J85" i="31"/>
  <c r="J7" i="36"/>
  <c r="J26" i="13"/>
  <c r="J93" i="13"/>
  <c r="J145" i="13"/>
  <c r="J11" i="37"/>
  <c r="J36" i="31"/>
  <c r="M95" i="31"/>
  <c r="J24" i="36"/>
  <c r="J54" i="13"/>
  <c r="M111" i="13"/>
  <c r="J167" i="13"/>
  <c r="J13" i="35"/>
  <c r="J123" i="31"/>
  <c r="J55" i="31"/>
  <c r="J111" i="31"/>
  <c r="P3" i="13"/>
  <c r="J69" i="13"/>
  <c r="M122" i="13"/>
  <c r="J181" i="13"/>
  <c r="J10" i="31"/>
  <c r="J74" i="31"/>
  <c r="J135" i="31"/>
  <c r="P20" i="13"/>
  <c r="J48" i="13"/>
  <c r="J142" i="13"/>
  <c r="M3" i="37"/>
  <c r="J50" i="35"/>
  <c r="J41" i="31"/>
  <c r="J101" i="31"/>
  <c r="J27" i="36"/>
  <c r="J55" i="13"/>
  <c r="J113" i="13"/>
  <c r="J168" i="13"/>
  <c r="J14" i="35"/>
  <c r="J56" i="31"/>
  <c r="J112" i="31"/>
  <c r="J8" i="13"/>
  <c r="J75" i="13"/>
  <c r="J128" i="13"/>
  <c r="J16" i="37"/>
  <c r="J11" i="34"/>
  <c r="M57" i="33"/>
  <c r="P106" i="33"/>
  <c r="M155" i="33"/>
  <c r="J37" i="35"/>
  <c r="M20" i="34"/>
  <c r="J39" i="33"/>
  <c r="M92" i="33"/>
  <c r="J141" i="33"/>
  <c r="J20" i="34"/>
  <c r="J8" i="33"/>
  <c r="J80" i="33"/>
  <c r="J130" i="33"/>
  <c r="M179" i="33"/>
  <c r="J67" i="35"/>
  <c r="J5" i="33"/>
  <c r="J85" i="33"/>
  <c r="J133" i="33"/>
  <c r="J40" i="35"/>
  <c r="M23" i="34"/>
  <c r="J54" i="33"/>
  <c r="J104" i="33"/>
  <c r="J152" i="33"/>
  <c r="J33" i="35"/>
  <c r="J16" i="34"/>
  <c r="J35" i="33"/>
  <c r="J89" i="33"/>
  <c r="J137" i="33"/>
  <c r="J76" i="31"/>
  <c r="J4" i="33"/>
  <c r="J78" i="33"/>
  <c r="J126" i="33"/>
  <c r="J174" i="33"/>
  <c r="J63" i="35"/>
  <c r="M37" i="34"/>
  <c r="J63" i="33"/>
  <c r="M112" i="33"/>
  <c r="J161" i="33"/>
  <c r="P37" i="24"/>
  <c r="J44" i="35"/>
  <c r="M36" i="34"/>
  <c r="J64" i="33"/>
  <c r="P112" i="33"/>
  <c r="M161" i="33"/>
  <c r="J45" i="35"/>
  <c r="M26" i="34"/>
  <c r="J61" i="33"/>
  <c r="J111" i="33"/>
  <c r="J159" i="33"/>
  <c r="J3" i="34"/>
  <c r="J48" i="33"/>
  <c r="M99" i="33"/>
  <c r="J148" i="33"/>
  <c r="M28" i="35"/>
  <c r="J12" i="34"/>
  <c r="J37" i="33"/>
  <c r="J91" i="33"/>
  <c r="J139" i="33"/>
  <c r="J48" i="35"/>
  <c r="M30" i="34"/>
  <c r="J60" i="33"/>
  <c r="J110" i="33"/>
  <c r="J158" i="33"/>
  <c r="J41" i="35"/>
  <c r="J23" i="34"/>
  <c r="P57" i="33"/>
  <c r="J107" i="33"/>
  <c r="P155" i="33"/>
  <c r="J72" i="35"/>
  <c r="J44" i="33"/>
  <c r="J96" i="33"/>
  <c r="J144" i="33"/>
  <c r="J25" i="35"/>
  <c r="J8" i="34"/>
  <c r="J41" i="33"/>
  <c r="J93" i="33"/>
  <c r="M142" i="33"/>
  <c r="M21" i="34"/>
  <c r="J27" i="35"/>
  <c r="J43" i="33"/>
  <c r="J143" i="33"/>
  <c r="J12" i="33"/>
  <c r="J132" i="33"/>
  <c r="J182" i="33"/>
  <c r="J9" i="33"/>
  <c r="M130" i="33"/>
  <c r="J69" i="33"/>
  <c r="M106" i="33"/>
  <c r="M76" i="31"/>
  <c r="P38" i="24" l="1"/>
  <c r="R36" i="24"/>
  <c r="P39" i="24" l="1"/>
  <c r="R37" i="24"/>
  <c r="P40" i="24" l="1"/>
  <c r="R39" i="24" s="1"/>
  <c r="R38" i="24"/>
</calcChain>
</file>

<file path=xl/comments1.xml><?xml version="1.0" encoding="utf-8"?>
<comments xmlns="http://schemas.openxmlformats.org/spreadsheetml/2006/main">
  <authors>
    <author>Manchester City Council</author>
  </authors>
  <commentList>
    <comment ref="H20" authorId="0" shapeId="0">
      <text>
        <r>
          <rPr>
            <sz val="8"/>
            <color indexed="81"/>
            <rFont val="Tahoma"/>
            <family val="2"/>
          </rPr>
          <t xml:space="preserve">When calculating total public value, the fiscal benefit to HMT should be excluded, as it is a transfer payment.  Total public value is £443 (2010/11 prices).  See further explanation in Comments cell.
</t>
        </r>
      </text>
    </comment>
    <comment ref="H21" authorId="0" shapeId="0">
      <text>
        <r>
          <rPr>
            <sz val="8"/>
            <color indexed="81"/>
            <rFont val="Tahoma"/>
            <family val="2"/>
          </rPr>
          <t xml:space="preserve">When calculating total public value, the fiscal benefit to HMT should be excluded, as it is a transfer payment.  Total public value is £1,059 (2010/11 prices).  See further explanation in Comments cell.
</t>
        </r>
      </text>
    </comment>
    <comment ref="H22" authorId="0" shapeId="0">
      <text>
        <r>
          <rPr>
            <sz val="8"/>
            <color indexed="81"/>
            <rFont val="Tahoma"/>
            <family val="2"/>
          </rPr>
          <t xml:space="preserve">When calculating total public value, the fiscal benefit to HMT should be excluded, as it is a transfer payment.  Total public value is £878 (2010/11 prices).  See further explanation in Comments cell.
</t>
        </r>
      </text>
    </comment>
    <comment ref="H23" authorId="0" shapeId="0">
      <text>
        <r>
          <rPr>
            <sz val="8"/>
            <color indexed="81"/>
            <rFont val="Tahoma"/>
            <family val="2"/>
          </rPr>
          <t xml:space="preserve">When calculating total public value, the fiscal benefit to HMT should be excluded, as it is a transfer payment.  Total public value is £1,208 (2010/11 prices).  See further explanation in Comments cell.
</t>
        </r>
      </text>
    </comment>
    <comment ref="H30" authorId="0" shapeId="0">
      <text>
        <r>
          <rPr>
            <sz val="8"/>
            <color indexed="81"/>
            <rFont val="Tahoma"/>
            <family val="2"/>
          </rPr>
          <t xml:space="preserve">When calculating total public value, the fiscal benefit to HMT should be excluded, as it is a transfer payment.  Total public value is £921 (2010/11 prices).  See further explanation in Comments cell.
</t>
        </r>
      </text>
    </comment>
    <comment ref="H31" authorId="0" shapeId="0">
      <text>
        <r>
          <rPr>
            <sz val="8"/>
            <color indexed="81"/>
            <rFont val="Tahoma"/>
            <family val="2"/>
          </rPr>
          <t xml:space="preserve">When calculating total public value, the fiscal benefit to HMT should be excluded, as it is a transfer payment.  Total public value is £1,382 (2010/11 prices).  See further explanation in Comments cell.
</t>
        </r>
      </text>
    </comment>
    <comment ref="H32" authorId="0" shapeId="0">
      <text>
        <r>
          <rPr>
            <sz val="8"/>
            <color indexed="81"/>
            <rFont val="Tahoma"/>
            <family val="2"/>
          </rPr>
          <t xml:space="preserve">When calculating total public value, the fiscal benefit to HMT should be excluded, as it is a transfer payment.  Total public value is £1,123 (2010/11 prices).  See further explanation in Comments cell.
</t>
        </r>
      </text>
    </comment>
    <comment ref="H33" authorId="0" shapeId="0">
      <text>
        <r>
          <rPr>
            <sz val="8"/>
            <color indexed="81"/>
            <rFont val="Tahoma"/>
            <family val="2"/>
          </rPr>
          <t xml:space="preserve">When calculating total public value, the fiscal benefit to HMT should be excluded, as it is a transfer payment.  Total public value is £1,925 (2010/11 prices).  See further explanation in Comments cell.
</t>
        </r>
      </text>
    </comment>
    <comment ref="H37" authorId="0" shapeId="0">
      <text>
        <r>
          <rPr>
            <sz val="8"/>
            <color indexed="81"/>
            <rFont val="Tahoma"/>
            <family val="2"/>
          </rPr>
          <t xml:space="preserve">When calculating total public value, the fiscal benefit to HMT should be excluded, as it is a transfer payment.  Total public value is £3,125 (2010/11 prices).  See further explanation in Comments cell.
</t>
        </r>
      </text>
    </comment>
  </commentList>
</comments>
</file>

<file path=xl/comments2.xml><?xml version="1.0" encoding="utf-8"?>
<comments xmlns="http://schemas.openxmlformats.org/spreadsheetml/2006/main">
  <authors>
    <author>Manchester City Council</author>
  </authors>
  <commentList>
    <comment ref="H3" authorId="0" shapeId="0">
      <text>
        <r>
          <rPr>
            <sz val="8"/>
            <color indexed="81"/>
            <rFont val="Tahoma"/>
            <family val="2"/>
          </rPr>
          <t xml:space="preserve">When calculating total public value, the £9,234 fiscal benefit to DWP should be excluded, as it is a transfer payment.  Total public value is £14,610 (2012/13 prices).  See further explanation in the Comment cell.
</t>
        </r>
      </text>
    </comment>
    <comment ref="H15" authorId="0" shapeId="0">
      <text>
        <r>
          <rPr>
            <sz val="8"/>
            <color indexed="81"/>
            <rFont val="Tahoma"/>
            <family val="2"/>
          </rPr>
          <t xml:space="preserve">When calculating total public value, the £7,500 fiscal benefit to DWP should be excluded, as it is a transfer payment.  Total public value is £13,700 (2012/13 prices).  See further explanation in the Comment cell.
</t>
        </r>
      </text>
    </comment>
    <comment ref="H28" authorId="0" shapeId="0">
      <text>
        <r>
          <rPr>
            <sz val="8"/>
            <color indexed="81"/>
            <rFont val="Tahoma"/>
            <family val="2"/>
          </rPr>
          <t xml:space="preserve">When calculating total public value, the £7,004 fiscal benefit to DWP should be excluded, as it is a transfer payment.  Total public value is £9,267 (2012/13 prices).  See further explanation in the Comment cell.
</t>
        </r>
      </text>
    </comment>
  </commentList>
</comments>
</file>

<file path=xl/sharedStrings.xml><?xml version="1.0" encoding="utf-8"?>
<sst xmlns="http://schemas.openxmlformats.org/spreadsheetml/2006/main" count="9369" uniqueCount="2548">
  <si>
    <t>Updated entries taken from the NHS National Schedule of Reference Costs and NHS Tariffs to provide new values from the 2013-14 Reference Costs publication.  A further 19 entries drawn from previous versions of the NHS Reference Costs do not have updated values in the 2013-14 workbook.</t>
  </si>
  <si>
    <t>Added new entry for Specialist prescribing (drugs), sourced from PSSRU 2014</t>
  </si>
  <si>
    <t>Corrected error in previous version of database for Mental health inpatients, specialist services entry - description now reads 'all patients', rather than previous 'adults only' (HE14.0)  Introduced two new constituent costs to give specific cost for: (i) adults); and (ii) children and adolescents (HE14.0.1 - HE14.0.2).  Also revised Comment cell for HE14.1 to refer to children and adolescents, not adults.</t>
  </si>
  <si>
    <t>HE1.7, HE1.9, HE2.10, HE2.12, HE18.0, HE19.0</t>
  </si>
  <si>
    <t>Revised Comment cells for a number of costs sourced from PSSRU 2014.</t>
  </si>
  <si>
    <t>HO7.0 - HO7.7</t>
  </si>
  <si>
    <t>Updated Housing Benefit values with latest data from www.gov.uk (DWP, November 2014)</t>
  </si>
  <si>
    <t>Update entries taken from the PSSRU Unit Costs of Health and Social Care to provide new values from the 2014 publication.  A further 33 entries from previous versions of the Unit Costs of Health &amp; Social Care publication do not have updated values in the 2014 edition.</t>
  </si>
  <si>
    <t>SS2.0 - SS2.0.2, SS3.0 - SS3.1, SS7.1 - SS7.1.3, SS9.5, SS11.3 - SS11.7, SS11.9 - 11.12, SS11.15 - SS11.17, SS15.2 - SS15.3, SS17.0, SS18.0 - SS18.10</t>
  </si>
  <si>
    <t>SS7.0, SS11.0 - SS11.2, SS12.0 - SS12.2, SS13.0 - SS13.2, SS14.0 - SS14.2</t>
  </si>
  <si>
    <t>SS16.0 - SS16.0.4</t>
  </si>
  <si>
    <t>Restructure 'School-based emotional learning programmes' entries - these have been moved from the Health to Social Services theme.  Other 'Programme' costs have been renumbered (i.e. new cost codes allocated) as necessary.</t>
  </si>
  <si>
    <t>Revised the methodology used to derive the 'headline' fiscal value for looked after children to exclude the element relating to wider social work input (see Comment cell to SS1.0 for details), and use updated 2013-14 data from DfE s251 and 903 returns.  Removed the social value.  Revised Comment cell to explain changes and suggest use of more specific foster care and residential placement entries where relevant LAC data are available.</t>
  </si>
  <si>
    <t>SS5.0 - SS5.0.9</t>
  </si>
  <si>
    <t>SS4.0 - SS4.2</t>
  </si>
  <si>
    <t>Slight revisions to Comment cells for Child Protection core assessment entries</t>
  </si>
  <si>
    <t xml:space="preserve">Split out fiscal, economic and social values into separate columns, and made associated changes to the Comment cells.  The 'Agency bearing the cost / making the saving' columns have been moved next to the fiscal cost columns, as they are only relevant to these costs and not to the economic and social entries.  Column headings have been renamed 'Fiscal values', 'Economic values' and 'Social values' (rather than the previous 'Fiscal costs').  </t>
  </si>
  <si>
    <t>Split out fiscal, economic and social values into separate columns, and made associated changes to the Comment cells.  Added additional content/comments on transfer costs and public value.  Changed 'Outcome Detail' heading for all entries from E&amp;S5.0 onwards to 'Qualifications / skills' rather than 'Earnings'.  Some associated renumbering (changed cost codes) and restructuring.  
The 'Agency bearing the cost / making the saving' columns have been moved next to the fiscal cost columns, as they are only relevant to these costs and not to the economic and social entries.  Column headings have been renamed 'Fiscal values', 'Economic values' and 'Social values' (rather than the previous 'Fiscal costs').</t>
  </si>
  <si>
    <t>Split out fiscal, economic and social values into separate columns, and made associated changes to the Comment cells.  Added additional content/comments on transfer costs and public value.  Also revised Source reference and Comment cells to clarify the derivation of the costs in DWP research.
The 'Agency bearing the cost / making the saving' columns have been moved next to the fiscal cost columns, as they are only relevant to these costs and not to the economic and social entries.  Column headings have been renamed 'Fiscal values', 'Economic values' and 'Social values' (rather than the previous 'Fiscal costs').</t>
  </si>
  <si>
    <t>Split out fiscal, economic and social values into separate columns, and made associated changes to the Comment cell.  The 'Agency bearing the cost / making the saving' columns have been moved next to the fiscal cost columns, as they are only relevant to these costs and not to the economic and social entries.  Column headings have been renamed 'Fiscal values', 'Economic values' and 'Social values' (rather than the previous 'Fiscal costs').</t>
  </si>
  <si>
    <t>Split out fiscal, economic and social values into separate columns, and made associated changes to the Comment cells. The 'Agency bearing the cost / making the saving' columns have been moved next to the fiscal cost columns, as they are only relevant to these costs and not to the economic and social entries.  Column headings have been renamed 'Fiscal values', 'Economic values' and 'Social values' (rather than the previous 'Fiscal costs').</t>
  </si>
  <si>
    <t>SS7.0, SS7.1, SS8.0 - SS8.0.1, SS11.0 - SS11.2, SS11.9, SS12.0 - SS12.2, SS15.3, SS16.0 (and general restructure to column order for the whole worksheet)</t>
  </si>
  <si>
    <t>CR2.0, CR8.0, CR8.1, CR8.2, CR8.3, CR8.4, CR8.5, CR8.6, CR8.7, CR8.8, CR8.9, CR8.10, CR8.11, CR8.12, CR8.13, CR8.14, CR8.15, CR8.16, CR8.178, CR8.18, CR8.19 (and general restructure to column order for the whole worksheet)</t>
  </si>
  <si>
    <t>E&amp;S1.0, E&amp;S2.0, E&amp;S4.1, E&amp;S5.0, E&amp;S6.0, E&amp;S7.0, E&amp;S8.0 - E&amp;S8.6, E&amp;S9.0, E&amp;S10.0, E&amp;S11.0, E&amp;S12.0 - E&amp;S12.3, E&amp;S13.0 (and general restructure to column order for the whole worksheet)</t>
  </si>
  <si>
    <t>E&amp;S1.0 - E&amp;S1.0.2, E&amp;S2.0 - E&amp;S2.0.2, E&amp;S3.0 - E&amp;S3.0.2 (and general restructure to column order for the whole worksheet)</t>
  </si>
  <si>
    <t>Fl1.0 (and general restructure to column order for the whole worksheet)</t>
  </si>
  <si>
    <t>HE1.0, HE2.0 - HE2.0.2, HE2.12, HE11.0, HE11.1, HE11.2, HE11.3, HE11.4, HE11.5, HE11.6, HE11.7 - HE11.9, HE13.0, HE13.1 (and general restructure to column order for the whole worksheet)</t>
  </si>
  <si>
    <t>(general restructure to column order for the whole worksheet)</t>
  </si>
  <si>
    <t>In line with the structure of the other worksheets, the 'Agency bearing the cost / making the saving' columns have been moved next to the fiscal cost columns, as they are only relevant to these costs and not to the economic and social entries.  Column headings have been renamed 'Fiscal values', 'Economic values' and 'Social values' (rather than the previous 'Fiscal costs').</t>
  </si>
  <si>
    <t>General changes</t>
  </si>
  <si>
    <t>Introduction worksheet</t>
  </si>
  <si>
    <t>The initial version of this cost database was developed as part of work under the Investment Agreement and Partnerships Exemplar project to produce a framework to assist local partners in reforming the way they deliver public services.  The project was funded by the Department for Communities and Local Government's (DCLG) Troubled Families Unit, and delivered by Greater Manchester and Birmingham City Council.  Work to develop and update the database is being undertaken by New Economy (Greater Manchester), with further support from DCLG and other government departments.</t>
  </si>
  <si>
    <t>The database contains costs across the following themes: crime; education and skills; employment and economy; fire; health; housing; and social services.  In particular, it builds on work by six localities (Birmingham, Hammersmith &amp; Fulham, Oldham, Tameside and Westminster councils, and Essex County Council), alongside a range of other contributors - we are very grateful for all the input received.  The data have been subject to a rigorous validation process, including assessing the robustness of the original source documentation, considering how data have been derived from constituent cost elements, comparing costs to related data, and exploring the availability of more recent/robust sources.  The data has also been reviewed by analysts from the relevant Whitehall departments.</t>
  </si>
  <si>
    <t>Guidance worksheet</t>
  </si>
  <si>
    <t>Content revised, with more information on differentiation between fiscal, economic and social values (and wider public value) and cashability.  The text highlights the importance of the Comment cells, and indicates how updates undertaken for version 1.4 of the database have been flagged to the user.</t>
  </si>
  <si>
    <t>Lookups worksheet</t>
  </si>
  <si>
    <t>The 'GDP Lookup' list has been updated with the latest HMT GDP deflators (19 March 2015 release), to enable costs to be updated to 2015-16 values.</t>
  </si>
  <si>
    <t>The 'Year' look-up and drop-down lists in each worksheet have been updated to include 2014-15 and 2015-16.  The RAG scoring and formatting applied to 'score' the age of the data (columns I, L and O in each worksheet) has been updated to the following:
Red: 2007/08 and earlier
Amber: 2008/09 - 2010/11
Green: 2011/12 and later</t>
  </si>
  <si>
    <t>Changes by database theme</t>
  </si>
  <si>
    <t>vl.4 update log worksheet</t>
  </si>
  <si>
    <t>New worksheet outlining changes introduced in the current version (v.1.4) in comparison to previous v.1.3</t>
  </si>
  <si>
    <t>Revised Children in need process costs to reflect additional information from 2012 publication and recent process changes.</t>
  </si>
  <si>
    <t>Content slightly revised.</t>
  </si>
  <si>
    <t xml:space="preserve">Update standard NHS nursing care contribution to 2013-14 value. </t>
  </si>
  <si>
    <t>Updated March 2015.  Changes from v.1.3 include the addition of new columns for economic and social values where applicable (see 'Guidance' tab for definitions) and updates to a number of unit costs where the source documentation has been updated since the previous version in March 2014.  For more detail on the updates that have been applied, see the 'v1.4 update log' worksheet, and columns T and U in the individual thematic worksheets.</t>
  </si>
  <si>
    <t>This is the estimated annual staffing cost associated with a full-time Troubled Families Employment Adviser (TFEA) at Executive Officer (EO) grade.  TFEAs were introduced as part of the government's Troubled Families programme in 2013; they are specialist Jobcentre Plus (JCP) advisers who work with local troubled families teams to give intensive, practical support to families to help them move into employment.  This support includes CV writing, job interview skills, and signposting to local training opportunities and job vacancies.
The entry is derived from data on staffing costs, including employers’ pension contributions and national insurance (NI) payments.  Note that it is not the paid salary.  Most TFEAs are at EO grade, although Higher Executive Officer (HEO) grade will apply in some areas - see the subsidiary cost line below.  DWP has agreed a figure of 3% to cover travel, learning and development, IT and telephony; this is included in the overall total. 
In addition to this national average, DWP has derived an Inner London cost for a TFEA at EO grade of £36,121, and an Outer London cost of £33,123 (both at 2013/14 prices).</t>
  </si>
  <si>
    <t>This is the estimated annual staffing cost associated with a full-time Troubled Families Employment Adviser (TFEA) at Higher Executive Officer (HEO) grade.  TFEAs were introduced as part of the government's Troubled Families programme in 2013; they are specialist Jobcentre Plus (JCP) advisers who work with local troubled families teams to give intensive, practical support to families to help them move into employment.  This support includes CV writing, job interview skills, and signposting to local training opportunities and job vacancies.
The entry is derived from data on staffing costs, including employers’ pension contributions and national insurance (NI) payments.  Note that it is not the paid salary.  Although Higher Executive Officer (HEO) grade will apply in some areas, most TFEAs are at Executive Officer (EO) grade - see the above headline entry.  DWP has agreed a figure of 3% to cover travel, learning and development, IT and telephony; this is included in the overall total. 
In addition to this national average, DWP has derived an Inner London cost for a TFEA at HEO grade of £43,806, and an Outer London cost of £40,698 (both at 2013/14 prices).</t>
  </si>
  <si>
    <t>Restructured some of the headline/subsidiary/constituent cost groupings, to rationalise the structure and correct illogical groupings (entries have been renumbered with new cost codes as appropriate).  Some minor revisions - changes to the Comment cell, new hyperlinks to the source documentation, changing the description in the 'Unit' column.</t>
  </si>
  <si>
    <t>Revised the details in the 'Original source' column for the headline entry 8.0 and all underlying subsidiary and constituent cost lines.</t>
  </si>
  <si>
    <t>This cost has been calculated from the NHS Reference Costs 2013-14, and represents the average cost per 'finished consultant episode' (FCE) - an FCE (or hospital episode) is a period of admitted patient care under a single consultant, within a single healthcare provider.  The cost has been derived from averaging all the elective inpatient HRG data provided in the source 'EL' worksheet.</t>
  </si>
  <si>
    <t>This cost has been calculated from the NHS Reference Costs 2013-14, and represents the average cost per 'finished consultant episode' (FCE) - an FCE (or hospital episode) is a period of admitted patient care under a single consultant, within a single healthcare provider.  It has been derived from averaging all the data for non-elective (long stay) and non-elective (short stay) episodes, in the source 'NEL' and 'NES' worksheets.  The average cost per episode for non-elective (long stay) inpatients is £2,837 per episode;  for non-elective (short stay) inpatients it is £603 per episode (both costs quoted at 2013-14 prices).</t>
  </si>
  <si>
    <t>Reference Cost Collection: National Schedule of Reference Costs - Year 2013-14 - NHS trusts and NHS foundation trusts.  Weighted average of HRG codes DZ21A-DZ21U</t>
  </si>
  <si>
    <t>This cost has been calculated from the NHS Reference Costs 2013-14, and represents the average cost per 'finished consultant episode' (FCE) for hospital admissions for Chronic Obstructive Pulmonary Disorder (COPD) - an FCE (or hospital episode) is a period of admitted patient care under a single consultant, within a single healthcare provider.  It has been derived from the weighted average of COPD costs (HRG codes DZ21A-DZ21U) given in the source 'Total HRGs' worksheet.  Individual unit costs are given in related worksheets within the source for different levels of intervention (e.g. with or without intubation / non-invasive ventilation), and for elective and non-elective inpatient and day admissions.</t>
  </si>
  <si>
    <t>Reference Cost Collection: National Schedule of Reference Costs - Year 2013-14 - NHS trusts and NHS foundation trusts.  Weighted average of HRG codes DZ15G-DZ15L</t>
  </si>
  <si>
    <t>This cost has been calculated from the NHS Reference Costs 2013-14, and represents the average cost per 'finished consultant episode' (FCE) for hospital admissions for asthma - an FCE (or hospital episode) is a period of admitted patient care under a single consultant, within a single healthcare provider.  It has been derived from the weighted average of asthma costs (HRG codes DZ15L-DZ15G) given in the source 'Total HRGs' worksheet.  Individual unit costs are given in related worksheets within the source for different levels of intervention (e.g. with or without intubation), and for elective and non-elective inpatient and day admissions.</t>
  </si>
  <si>
    <t>(Restructured / renumbered)</t>
  </si>
  <si>
    <t>Comments cell revised (no change to fiscal value)</t>
  </si>
  <si>
    <t>New hyperlink to source.  Restructured / renumbered</t>
  </si>
  <si>
    <t>Change to unit description.  Restructured / renumbered</t>
  </si>
  <si>
    <t>Economic and social values separated out, and comments cell revised (no change to fiscal values)</t>
  </si>
  <si>
    <t>Drugs misuse - average annual savings resulting from reductions in drug-related offending and health and social care costs as a result of delivery of a structured, effective treatment programme</t>
  </si>
  <si>
    <t>Housing Benefit caseload statistics: data to November 2014, Table 5 (DWP, 2014)</t>
  </si>
  <si>
    <t>Updated with average weekly award values as at November 2014</t>
  </si>
  <si>
    <t>This is an average weekly cost of Housing Benefit across all types of tenure.  The data are released by DWP on a monthly basis (quoted figures are for November 2014).  The source also provides average weekly awards by age group, gender and family type (see Table 9B).  The most significant variable is family type: the average weekly award for a single person with no dependent children in November 2014 (all ages, male and female) was £87; for a single person with child dependants it was £104; for a couple with no dependent children it was £82; and for a couple with dependent children it was £108.</t>
  </si>
  <si>
    <t>This is an average weekly cost of Housing Benefit for social housing tenants, for both local authority and Registered Social Landlord (Registered Provider) provision - specific data for these types of tenure are provided below.  The data are released by DWP on a monthly basis (quoted figures are for November 2014).</t>
  </si>
  <si>
    <t>This is an average weekly cost of Housing Benefit for social housing tenants in local authority-owned stock.  The data are released by DWP on a monthly basis (quoted figures are for November 2014).</t>
  </si>
  <si>
    <t>This is an average weekly cost of Housing Benefit for social housing tenants in Registered Social Landlord (Registered Provider) stock  The data are released by DWP on a monthly basis (quoted figures are for November 2014).</t>
  </si>
  <si>
    <t>This is an average weekly cost of Housing Benefit awards to tenants in the private rented sector.  It covers Private Regulated Tenants and Private Deregulated Tenants (Local Housing Allowance and non-Local Housing Allowance); specific data for these types of tenure are provided below.  The data are released by DWP on a monthly basis (quoted figures are for November 2014).</t>
  </si>
  <si>
    <t>v.1.4 revisions</t>
  </si>
  <si>
    <t>Offender, Prison 
Average cost across all prisons, including central costs (costs per prisoner per annum)</t>
  </si>
  <si>
    <t>NOMS - Cost per place and costs per prisoner 2013-14 (MOJ, 2014)</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</si>
  <si>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across prison types divided by the (mean) average of the 12-month end prison populations for the year.
This average is drawn from the constituent costs detailed below (CR3.0.1 - CR3.0.8), plus the Young Offenders Institute costs at CR4.2 and CR4.3.  The source also gives data on the average cost for prisons operated by the public sector and those operated by a private contractor.</t>
  </si>
  <si>
    <t>Fiscal value updated using data from the 2013/14 report, and Comment cell revised.  Also restructured / renumbered</t>
  </si>
  <si>
    <t>CR3.0.1</t>
  </si>
  <si>
    <t>Offender, Prison 
Male Category B prison including central costs
(costs per prisoner per annum)</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</si>
  <si>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on Male Category B prisons divided by the (mean) average of the 12-month end populations in these prisons for the year.
Closed training prisons provide a range of facilities for Category B and Category C adult male prisoners and closed condition adult females who are serving medium to long-term sentences.  Prisoners tend to be employed in a variety of activities such as prison workshops, gardens and education and in offending behaviour programmes.</t>
  </si>
  <si>
    <t>CR3.0.2</t>
  </si>
  <si>
    <t>Offender, Prison 
Male Category C prison including central costs
(costs per prisoner per annum)</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</si>
  <si>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on Male Category C prisons divided by the (mean) average of the 12-month end populations in these prisons for the year.
Closed training prisons provide a range of facilities for Category B and Category C adult male prisoners and closed condition adult females who are serving medium to long-term sentences.  Prisoners tend to be employed in a variety of activities such as prison workshops, gardens and education and in offending behaviour programmes.</t>
  </si>
  <si>
    <t>CR3.0.3</t>
  </si>
  <si>
    <t>Offender, Prison 
Male dispersal prison including central costs
(costs per prisoner per annum)</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</si>
  <si>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on male dispersal prisons divided by the (mean) average of the 12-month end populations in these prisons for the year.
These prisons hold the most difficult and dangerous prisoners in England and Wales including those assessed as Category A.  They serve to spread the Category A population, ensuring that the most dangerous prisoners are not concentrated in a single establishment, thereby reducing the risks involved in holding them.</t>
  </si>
  <si>
    <t>CR3.0.4</t>
  </si>
  <si>
    <t>Offender, Prison 
Male open prison including central costs
(costs per prisoner per annum)</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</si>
  <si>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on male open prisons divided by the (mean) average of the 12-month end populations in these prisons for the year.
Open prisons house Category D adult male prisoners and Open condition adult females whose risk of absconding is considered to be low, or who are of little risk to the public because of the nature of their offence.  Open prisons also house long-term prisoners who are coming towards the end of their sentence and who have gradually worked their way down the categories. Open prisons are part of the resettlement programme to reintegrate prisoners back into society.  Whilst Open prisons may have some workshop facilities, some of the prisoners will work in the community, returning to the prison in the evening.</t>
  </si>
  <si>
    <t>CR3.0.5</t>
  </si>
  <si>
    <t>Offender, Prison 
Male local prison including central costs
(costs per prisoner per annum)</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</si>
  <si>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on male local prisons divided by the (mean) average of the 12-month end populations in these prisons for the year.
Local prisons serve the courts and receive remand and post conviction prisoners, prior to their allocation to other establishments.</t>
  </si>
  <si>
    <t>New cost added to the database</t>
  </si>
  <si>
    <t>CR3.0.6</t>
  </si>
  <si>
    <t>Offender, Prison 
Female closed prison including central costs
(costs per prisoner per annum)</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</si>
  <si>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on female closed prisons divided by the (mean) average of the 12-month end populations in these prisons for the year.
Closed training prisons provide a range of facilities for Category B and Category C adult male prisoners and closed condition adult females who are serving medium to long-term sentences.  Prisoners tend to be employed in a variety of activities such as prison workshops, gardens and education and in offending behaviour programmes.</t>
  </si>
  <si>
    <t>CR3.0.7</t>
  </si>
  <si>
    <t>Offender, Prison 
Female open prison including central costs
(costs per prisoner per annum)</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</si>
  <si>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on female open prisons divided by the (mean) average of the 12-month end populations in these prisons for the year.
Open prisons house Category D adult male prisoners and Open condition adult females whose risk of absconding is considered to be low, or who are of little risk to the public because of the nature of their offence.  Open prisons also house long-term prisoners who are coming towards the end of their sentence and who have gradually worked their way down the categories. Open prisons are part of the resettlement programme to reintegrate prisoners back into society.  Whilst Open prisons may have some workshop facilities, some of the prisoners will work in the community, returning to the prison in the evening.</t>
  </si>
  <si>
    <t>CR3.0.8</t>
  </si>
  <si>
    <t>Offender, Prison 
Female local prison including central costs
(costs per prisoner per annum)</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</si>
  <si>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on female local prisons divided by the (mean) average of the 12-month end populations in these prisons for the year.
Local prisons serve the courts and receive remand and post conviction prisoners, prior to their allocation to other establishments.</t>
  </si>
  <si>
    <t>Youth offender, prison 
Male closed Young Offenders Institute (ages 15-21), including central costs (costs per prisoner per annum)</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</si>
  <si>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is derived from overall resource expenditure on male closed Young Offenders Institutes (ages 15-21) divided by the (mean) average of the 12-month end populations in these institutions for the year.
This entry relates to Young Offender Institutions (YOIs) holding young adults (18 to 21 years old).  These institutions may also include young people aged 15 to 17, who are held separately from adults within the establishment (see entry CR4.2 below).</t>
  </si>
  <si>
    <t>Youth offender, prison
Male Young Offenders Institute, young people (ages 15-17), including central costs (costs per prisoner per annum)</t>
  </si>
  <si>
    <t>These figures represent the overall average cost of holding one prisoner for a year, and comprise the net expenditure managed and recorded at each prison plus the net expenditure met at regional or national level and recorded in the Annual accounts of the National Offender Management Service (NOMS).  
The cost relates to Young Offender Institutions (YOIs) holding young people (15 to 17 years old).  It is derived from overall resource expenditure on young people in these institutions divided by the (mean) average of the 12-month end populations for the year.</t>
  </si>
  <si>
    <t>Economic and social costs differentiated in separate column, and comments cell revised.  Fiscal value uprated to 2013-14 prices to give a consistent base across both sources and with the social value</t>
  </si>
  <si>
    <t>Estimating the crime reduction benefits of drug treatment and recovery (National Treatment Agency for Substance Misuse, 2012), p.11; and Drug Treatment Outcomes Research Study (DTORS) (Home Office, 2009), p.13</t>
  </si>
  <si>
    <t>When looking at the financial case for a project, only the fiscal values should be considered, and an assessment of cashability of any savings also considered (see the New Economy website for guidance on cashability: http://neweconomymanchester.com/stories/1855-cost_benefit_analysis_guidance_and_model).  When looking at the economic or public value case for a project, all three benefits should be considered.  (N.B. A small number of fiscal values should be excluded from the public value calculations as they are transfer payments, e.g. tax or social security benefits.  These are indicated by a comment in the fiscal value cell).</t>
  </si>
  <si>
    <t>Columns T and U indicate which database entries have been changed as part of the update to version 1.4 carried out in March 2015.  Column T indicates whether a new cost has been added, or a previous cost updated (e.g. if the source documentation is released on annual basis, further information/research has been  undertaken, or the cost has been moved or renumbered as part of wider rationalisation under a particular theme).  Column U gives more detail on the changes introduced.  A summary of changes implemented for each of the themes is provided in the 'v1.4 update log' worksheet.</t>
  </si>
  <si>
    <t>New versions of the database are produced on an ongoing basis, both to introduce new costs and update existing entries.  A further update is planned for later in 2015, to introduce costs from newly released publications and research undertaken by government departments to fill some of the gaps in the database.</t>
  </si>
  <si>
    <t>We would welcome feedback on the content of the database, and suggestions on how it might be moved forward.  To provide such feedback, or to request more information, please contact one of the team at New Economy:</t>
  </si>
  <si>
    <t>The Comment cell in Column S of each of the thematic worksheets contains a commentary on the unit costs provided, including further information on the source and derivation of the cost/saving, underlying assumptions, and where available, alternative costs that can be used if preferred (e.g. costs for different types of client group; labour costs for different time periods or type of contact; London weightings.  Such costs are usually given at the price base provided in the source documentation; if you want to uprate to current prices, just enter the value in a blank cell in the economic or social value column, and the year in the neighbouring right hand cell).  If relevant, information is also provided on the potential for double-counting with other entries in the database, and recommendations over pro-rating the cost if modelling over a shorter period than the monetised timescale.  An explanation of the 'RAG' (red, amber, green) rating applied to the cost might also be given, highlighting any associated caveats or limitations.</t>
  </si>
  <si>
    <t>This is a composite measure derived from the three constituent costs detailed below, which comprise savings from reduced drug-related offending by people in receipt of effective treatment, flowing to the criminal justice system, victim services and the NHS (the latter referring to the reduced physical harm perpetrated on victims due to fewer robberies), and savings from reduced demand for health and social care services by the client receiving treatment - see below for the constituent costs that make up the total headline cost quoted here.  More detail on how the cost is derived is given in the comments cells for the constituent cost lines, which also detail related economic and social costs noted in the source material.  Note that an updated cost at 2013-14 prices is given here, as the monetisation year for the two sources is different : the 2012 National Treatment Agency (NTA) publication, 'Estimating the crime reduction benefits of drug treatment and recovery' quotes 2010-11 prices; the Home Office's 2009 Drug Treatment Outcomes Research Study (DTORS) quotes 2006-07 prices.  The age of the second source explains the amber flag allocated to the data (note that this cost is likely to be updated on publication of forthcoming health research that is intended to accompany the 2012 NTA Crime Reduction report).
The economic value relates to the annual cost saving due to not buying drugs.  The social value is based upon the reduced health/well-being impact of drug abuse.  These values are sourced from the DTORS research, referenced as the source for the cost line HE2.0.3.  The social value is calculated from DTORS data that suggests that drug treatment leads to an extra 0.05 Quality-Adjusted Life Years (QALYs) compared to no drug treatment; this is monetised by applying a value of £60,000 per QALY (2009 prices).  Note that the economic and social values quoted for HE2.0.1 and HE2.0.2 are sourced from the NTA report, and do not relate to the DTORS values used for this headline cost.</t>
  </si>
  <si>
    <t>General</t>
  </si>
  <si>
    <t>CR1.0, CR2.0, CR8.0</t>
  </si>
  <si>
    <t>151 (28 minor revisions, plus 123 entries restructured / renumbered)</t>
  </si>
  <si>
    <t>(n/a)</t>
  </si>
  <si>
    <t>CR8.0.1 - CR 8.19.5</t>
  </si>
  <si>
    <t>CR9.0 - CR9.2</t>
  </si>
  <si>
    <t>CR3.0 - CR3.0.8, CR4.1, CR4.2</t>
  </si>
  <si>
    <t xml:space="preserve">Note age of data.   The data are expressed in 2005 figures in the 2007 report.  It is important to caveat the quoted, average cost - potentially values can vary significantly depending on the case.  The source assumes truancy of individual during the 11 year period that a child spends at school.  Note comments on the constituent cost entries below, which explain how the cost per effective year has been calculated.
The GM CBA model uses a sub-set of the £1,509 fiscal value for modelling purposes, based on the assumption that local authority initiatives around truancy tend to be proactive, focused on attendance, rather than reactive as a result of children being absent from school (local authority expenditure on proactive initiatives would therefore be captured in the costs section of the CBA methodology, rather than the benefits).  A fiscal cost of £803 is used, excluding the cost of alternative educational provision that falls to the local authority, and comprising the costs falling to criminal justice (£424) and health (£52) agencies, and to local authority social services (£328) (see the constituent cost rows below this headline entry; all values quoted in this cell are at 2005/06 prices).
The economic cost to the individual relates to lost earnings due to truancy, which is quoted 'per effective year' (this is drawn from the lifetime figure quoted in Misspent Youth, and based on a 40-year working life.  However, note that the benefits will be delayed until the child is of working age, so may not be relevant to shorter-term modelling).  </t>
  </si>
  <si>
    <t>Economic cost separated out, and Comment cell revised.  No change to fiscal values</t>
  </si>
  <si>
    <t>Economic cost differentiated in separate column, and Comment cell revised.  Public value/ transfer payment comment added.  Changed 'Outcome detail' heading from 'Earnings' to 'Qualifications/ skills'</t>
  </si>
  <si>
    <t>Economic cost differentiated in separate column.  Renumbered, and Comment cell revised.  Changed 'Outcome detail' heading from 'Earnings' to 'Qualifications/ skills'</t>
  </si>
  <si>
    <t>Revised the Comment cells for the following entries to highlight the potential for double-counting with other costs: anti-social behaviour - further action (CR1.0); domestic violence (CR2.0) and average cost per incident of crime, across all types of crime (CR8.0).</t>
  </si>
  <si>
    <t>Deleted the entry for 'Offender, average yearly cost of a first time entrant (over 18) to the Criminal Justice System' - this is based upon under-18 entrants who then turn 18 before Year 2 following the offence, rather than over-18 first time entrants, so is open to mis-interpretation; other values in the database are more useful.</t>
  </si>
  <si>
    <t>Added a new entry for the cost per hour of a Youth Offending Team practitioner (CR4.3).</t>
  </si>
  <si>
    <t>Updated prison costs to values in 'NOMS Annual Report &amp; Accounts 13-14', and hyperlinked to the new source documentation.  Note that 3.0.5 and 3.0.6 are new costs added to the database from the 2013-14 publication.  Comment cells have been revised.</t>
  </si>
  <si>
    <t>Revised the entry for 'Youth offender, average cost of a first time entrant (under 18) to the Criminal Justice System in the first year following the offence' (CR4.0) to just consider costs incurred during the first year following offending.  Constituent costs detailing in the previous version of the database have been deleted, as we do not have the breakdown of costs by agency.  Detailed the average value for additional years in the Comment cell.</t>
  </si>
  <si>
    <t>Added new entries for Home Office derived costs for police officer time (CR9.0 - CR9.2)</t>
  </si>
  <si>
    <t>Updated benefit payment amounts with latest values from www.gov.uk (DWP, January/February 2015).</t>
  </si>
  <si>
    <t>Updated DWP transaction costs sourced from Transactions Explorer with latest values (2013-14).</t>
  </si>
  <si>
    <t>Added new entries for DWP derived costs for Troubled Families Employment Adviser (TFEA) time (E&amp;E11.0 - E&amp;E 11.1).</t>
  </si>
  <si>
    <t>Revised hyperlinks to source report, which were not working.</t>
  </si>
  <si>
    <t>E&amp;S1.1 - E&amp;E1.5, E&amp;E2.1 - E&amp;E2.4, E&amp;E3.1 - E&amp;E3.3, E&amp;E3.5 - E&amp;E3.6, E&amp;E3.8 - E&amp;E3.9, E&amp;E8.0 - E&amp;E8.1, E&amp;E9.0</t>
  </si>
  <si>
    <t>E&amp;E1.7, E&amp;E2.5 - E&amp;E2.6, E&amp;E7.5 - E&amp;E7.6, E&amp;E8.2, E&amp;E9.2</t>
  </si>
  <si>
    <t>E&amp;E3.4, E&amp;E3.7, E&amp;E5.0 - E&amp;E5.3, E&amp;E6.0 - E&amp;E6.4</t>
  </si>
  <si>
    <t>Added new entry for the cost of processing new claims for Carer's Allowance Transactions Explorer (Transactions Explorer, 2013-14).</t>
  </si>
  <si>
    <t>E&amp;E10.0 - E&amp;E10.4</t>
  </si>
  <si>
    <t>Updated NEET unit costs.  New NEET entries have been added, including 2 subsidiary cost lines and 6 constituent cost lines.  The fiscal values for the original 18-24and 16-17 NEET entries (now E&amp;E 10.0 and E&amp;E10.1) have been very slightly revised, and agency splits introduced in the constituent cost lines underpinning E&amp;E10.0.</t>
  </si>
  <si>
    <t>E&amp;E11.0 - E&amp;E11.1</t>
  </si>
  <si>
    <t>All entries</t>
  </si>
  <si>
    <t>Updated Disability Living Allowance (DLA) entries with benefit values for 2014-15, and revised  'Cost/Saving detail' and 'Comment' cells to reflect change of DLA to a historic benefit</t>
  </si>
  <si>
    <t>E&amp;E7.0 - E&amp;E7.6</t>
  </si>
  <si>
    <t>Added new entries with benefit payment amounts sourced from www.gov.uk (DWP, January/February 2015).  New entries include Personal Independence Payment values</t>
  </si>
  <si>
    <t>HE1.7, HE1.9, HE1.12 - HE1.14, HE2.7, HE2.10, HE2.12, HE8.2, HE10.1 - HE10.11, HE10.13, HE10.15, HE10.17, HE12.2 - HE12.7, HE16.2 - HE16.6, HE17.0 - HE17.1, HE18.0 - HE18.1, HE19.0 - HE19.1, HE20.0, HE20.2 - HE20.3, HE20.5, HE21.0, HE22.0 - HE22.1, HE23.0 - HE23.9</t>
  </si>
  <si>
    <t>HE1.1 - HE1.3, HE1.8, HE2.3, HE2.5 - HE2.6, HE2.8 - HE2.9, HE2.11, HE3.0 - HE3.2, HE7.0 - HE7.0.2, HE7.5 - HE7.9, HE8.0 - HE8.1, HE8.3, HE9.0, HE10.12, HE10.14, HE10.16</t>
  </si>
  <si>
    <t>158 (c. 20 costs restructured, with remainder simply allocated new cost codes)</t>
  </si>
  <si>
    <t>HE14.0 - HE14.1</t>
  </si>
  <si>
    <t>Updated entries taken from the PSSRU Unit Costs of Health and Social Care to provide new values from the 2014 publication.  Note that ten PSSRU entries in the database do not have updated values in the 2014 publication, so values from previous editions have been retained.</t>
  </si>
  <si>
    <t>This is the cost per hour per team member of assertive outreach team provision for people with mental health problems.  Assertive outreach teams provide intensive support for people with severe mental illness who are ‘difficult to engage’ in more traditional services; team members may include doctors, nurses, psychologists, social workers, social care, other therapists and volunteers.  The costs are derived from salary costs (including on-costs such as national insurance and pension contributions), plus an element to account for a proportion of overheads (management, admin, travel, telephone, supplies and services, utilities, etc.) and capital costs.  The source also provides London and non-London multipliers (see p.220 for details).  Related data are quoted for: the average cost for an assertive outreach team contact (£122); the cost per hour of patient contact (£50); the annual cost per team member (£53,648); and the average cost per case (£7,664) (all costs are quoted at 2013-14 prices).</t>
  </si>
  <si>
    <t>Unit Costs of Health &amp; Social Care 2014 (Curtis, 2014), p.221</t>
  </si>
  <si>
    <t>Early intervention is a service for young people aged 14-35 during the first three years of a psychotic illness.  Early intervention teams provide a range of services tailored to the needs of young people with a view to facilitating recovery, including anti‐psychotic medications and psycho‐social interventions; teams can include doctors, nurses, psychologists, social workers, social care, other therapists and volunteers.  This is the average cost per hour per team member, and is derived from salary costs (including on-costs such as national insurance and pension contributions), plus an element to account for a proportion of overheads (management, admin, travel, telephone, supplies and services, utilities, etc.) and capital costs.  The source also provides London and non-London multipliers (see p.221 for details).  Related data are quoted for: the average cost per team contact (£177); the average annual cost per team member (£59,948); and the average cost per case (£6,661) (all costs are quoted at 2013-14 prices).</t>
  </si>
  <si>
    <t>Unit Costs of Health &amp; Social Care 2014 (Curtis, 2014), p.51</t>
  </si>
  <si>
    <t>This is the average cost of a course of six face-to-face CBT sessions delivered over a 12-week period to individual participants at risk of depression and/or anxiety disorders.  The source also quotes the cost of a course of CBT delivered as part of a suicide prevention package, at around £433 per person (see p.58; 2013-14 prices).  Note that the Unit Costs of Health &amp; Social Care 2013 publication (p.18) quotes a range of CBT costs for different types of patient group/provider.</t>
  </si>
  <si>
    <t>Unit Costs of Health &amp; Social Care 2014 (Curtis, 2014), p.46</t>
  </si>
  <si>
    <t>Unit Costs of Health &amp; Social Care 2014 (Curtis, 2014), p.47</t>
  </si>
  <si>
    <t>Local authority social services day care for people with mental health problems - average cost per client attendance</t>
  </si>
  <si>
    <t>Unit Costs of Health &amp; Social Care 2014 (Curtis, 2014), p.48</t>
  </si>
  <si>
    <t>Private sector day care for people with mental health problems - average cost per client attendance</t>
  </si>
  <si>
    <t>These are the average fiscal, economic and social costs per incident of crime for burglary of a dwelling (i.e. domestic burglary).  Note that for modelling purposes, a multiplier may need to be applied to convert incidents of recorded crime to actual crime (see the CBA Guidance document - the average multiplier for Greater Manchester for 2011/12 was 2.8).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</si>
  <si>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non vehicle-related theft.  Note that for modelling purposes, a multiplier may need to be applied to convert incidents of recorded crime to actual crime (see the CBA Guidance document - the average multiplier for Greater Manchester for 2011/12 was 3.0).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</si>
  <si>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theft from a vehicle.  Note that for modelling purposes, a multiplier may need to be applied to convert incidents of recorded crime to actual crime (see the CBA Guidance document - the average multiplier for Greater Manchester for 2011/12 was 3.5).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</si>
  <si>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vehicle theft.  Note that for modelling purposes, a multiplier may need to be applied to convert incidents of recorded crime to actual crime (see the CBA Guidance document - the average multiplier for Greater Manchester for 2011/12 was 1.3).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</si>
  <si>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attempted vehicle theft.  Note that for modelling purposes, a multiplier may need to be applied to convert incidents of recorded crime to actual crime (see the CBA Guidance document - the average multiplier for Greater Manchester for 2011/12 was 2.3).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</si>
  <si>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criminal damage to personal property.  Note that for modelling purposes, a multiplier may need to be applied to convert incidents of recorded crime to actual crime (see the CBA Guidance document - the average multiplier for Greater Manchester for 2011/12 was 5.9).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</si>
  <si>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robbery of commercial property.  Note that for modelling purposes, a multiplier may need to be applied to convert incidents of recorded crime to actual crime (see the CBA Guidance document - the average multiplier for Greater Manchester for 2011/12 was 4.8).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</si>
  <si>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non-domestic burglary (e.g. commercial property).  Note that for modelling purposes, a multiplier may need to be applied to convert incidents of recorded crime to actual crime (see the CBA Guidance document - the average multiplier for Greater Manchester for 2011/12 was 1.9).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</si>
  <si>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This figure refers to the 83,366 first-time entrants in 2000 and the costs in the first year following the offence.  Many of this cohort went on to commit further offences in the years 2001 to 2008.  On average, the cost to the criminal justice system of the cohort during this period was approximately £8,000 per year (2008/09 prices).  See page 25 of the NAO report for further details.</t>
  </si>
  <si>
    <t xml:space="preserve"> </t>
  </si>
  <si>
    <t>Economic cost differentiated in separate column, change to signposted source, and Comment cell revised.  Public value/ transfer payment comment added</t>
  </si>
  <si>
    <t>Change to signposted source</t>
  </si>
  <si>
    <t>(Updated cost not available from the 2013-14 Reference Costs publication).   'Comment' cell revised to refer to children and adolescents, not adults.  Renumbered</t>
  </si>
  <si>
    <t>Alcohol Services, Children and Adolescents, Admitted Patient</t>
  </si>
  <si>
    <t>Fiscal value updated using 2013/14 source data and methodology revised.  Social value excluded, and comments cell revised</t>
  </si>
  <si>
    <t>Unit Costs of Health &amp; Social Care 2014 (Curtis, 2014), p.49</t>
  </si>
  <si>
    <t xml:space="preserve">This is the average cost per session for people with mental health problems using day care delivered by a private sector provider.  Note that this cost is for patients who are fully paid for by the local authority, whereas some patients may be fully or partly self-funding (in which case the fiscal cost should be reduced and the individual's contribution accounted for as an economic cost), and others part-funded under joint local authority-NHS arrangements.  The cost is derived from day care and capital costs (excluding capital costs, the median cost per attendance is £33, and the mean cost £30).  The source quotes the median cost per client week as £97 and the mean as £86, including capital costs.  In addition, it details related costs per client hour (£9.80) and per client session lasting 3.5 hours (£34).  All costs in this cell are quoted at 2013-14 prices.  London multipliers are also given (see p.49).  Commentary in the source details an assumption that clients attend day care for an average three sessions per week, which is the number of sessions recommended as part of a total recovery programme.
</t>
  </si>
  <si>
    <t>This is the average cost per resident week in a private, voluntary or independent sector-run care home for people with mental health problems.  Note that this cost is for patients who are fully paid for by the local authority, whereas some patients may be fully or partly self-funding (in which case the fiscal cost should be reduced and the individual's contribution accounted for as an economic cost), and others part-funded under joint local authority-NHS arrangements.  The cost is derived from care and capital costs; the median cost of care alone, excluding capital, is £613 per resident week.  In addition, the source quotes a weekly cost including personal living expenses (the DWP personal allowance for people in residential care or a nursing home) of £734 per resident week (all prices quoted in this cell are 2013-14).  A London multiplier is also given (see p.47).</t>
  </si>
  <si>
    <t>This is the average cost per resident week in a local authority-run care home for people with mental health problems.  Note that this cost is for patients who are fully paid for by the local authority, whereas some patients may be fully or partly self-funding (in which case the fiscal cost should be reduced and the individual's contribution accounted for as an economic cost), and others part-funded under joint local authority-NHS arrangements.  The cost is derived from care and capital costs; the median cost of care alone, excluding capital, is £941 per resident week.  In addition, the source quotes a weekly cost including personal living expenses (the DWP personal allowance for people in residential care or a nursing home) of £1,062 per resident week (all prices quoted in this cell are 2013-14).   A London multiplier is also given (see p.46).</t>
  </si>
  <si>
    <t>Unit Costs of Health &amp; Social Care 2014 (Curtis, 2014), p.195</t>
  </si>
  <si>
    <t>(Updated cost not available from the 2013-14 Reference Costs publication)</t>
  </si>
  <si>
    <t>This is the average cost for a GP per face-to-face (surgery) consultation where patient contact lasts an average 11.7 minutes; it includes costs relating to direct care staff (practice nurses).  The source quotes the same cost including qualification costs, at £46 per consultation (all costs quoted in this cell are given at 2013-14 prices).  Related costs are given for longer consultations, where patient contact lasts an average 17.2 minutes (£56, or £67 including qualification costs).  Data are also quoted excluding direct care staff costs: the average cost for an 11.7 minute consultation becomes £35 (£42 including qualification costs), and £50 (£62 including qualification costs) for a 17.2 minute consultation.  The costs are derived from practice salary costs, including administrative and clerical staff (and including on-costs such as national insurance and pension contributions), premises costs and business overheads, and training and capital costs.  All costs are clearly presented in a summary table on p.195 of the source document, with related data and commentary on pp.194 and 196.</t>
  </si>
  <si>
    <t>This is the average cost for a non-consultant led (non-admitted) follow-up attendance with a hospital-based physiotherapist.  It is taken from the NHS Reference Costs 2011-12 (see 'Total other currencies' worksheet, currency codes A08A1-Ao8CG).  Note that this cost is not directly comparable with the cost per hour data quoted above, which is taken from the Unit Costs of Health and Social Care 2012 publication, and is derived in a different way.  The source gives specific costs for adult one-to-one (£52, 2012-13 prices) and group (£41) contact, and for child one-to-one (£81) and group (£89) contact.</t>
  </si>
  <si>
    <t>Radiotherapy (clinical oncology) - average cost of an outpatient attendance</t>
  </si>
  <si>
    <t>Reference Cost Collection: National Schedule of Reference Costs - Year 2013-14 - service code 800 ('Total Outpatient Attendances' worksheet)</t>
  </si>
  <si>
    <t>This is the average cost for a radiotherapy (clinical oncology) hospital outpatient attendance.  It is taken from the NHS Reference Costs 2013-14 (see the 'Total Outpatient Attendances' worksheet, service code 800).  Note that this cost is not directly comparable with the cost per hour data quoted elsewhere under the Health theme for a hospital radiographer, which is taken from the Unit Costs of Health and Social Care 2012 publication, and is derived in a different way.  The source quotes average costs for a consultant-led radiotherapy outpatient attendance (£131, 2013-14 prices) and non-consultant led (£73).</t>
  </si>
  <si>
    <t>Hospital outpatients - average cost per outpatient attendance</t>
  </si>
  <si>
    <t>Reference Cost Collection: National Schedule of Reference Costs - Year 2013-14.  Weighted average of all costs in 'Total Outpatient Attendances' worksheet</t>
  </si>
  <si>
    <t>This cost has been calculated from the NHS Reference Costs 2013-14, and represents the weighted average cost per hospital outpatient attendance  It has been derived from the average costs across all service codes detailed in the source 'Total Outpatient Attendances' worksheet.</t>
  </si>
  <si>
    <t>Reference Cost Collection: National Schedule of Reference Costs - Year 2013-14.  Weighted average of all costs in 'OPROC' worksheet</t>
  </si>
  <si>
    <t>This cost has been calculated from the NHS Reference Costs 2013-14, and represents the weighted average cost per outpatient procedure undertaken.  It has been derived from the average costs across all currency codes detailed in the source 'OPROC' worksheet.</t>
  </si>
  <si>
    <t>National Schedule of Reference Costs 2011-12 for NHS trusts and NHS foundation trusts - weighted average of currency codes N08AF, N08AN, N08CF and N08CN</t>
  </si>
  <si>
    <t>This cost has been calculated from the NHS Reference Costs 2013-14, and represents the average cost per contact by specialist community/outreach nurses with patients suffering from asthma.  It has been derived from the weighted average of asthma costs (HRG codes N08AF, N08AN, N08CF and N08CN given in the source 'CHS' worksheet.  Individual unit costs are given for contact by specialist nurses with children (face-to-face contact £131; non-face to face contact £31) and adults (face-to-face contact £79; non-face to face contact £37).</t>
  </si>
  <si>
    <t>This cost is sourced from the NHS Reference Costs 2013-14 (Currency code MA18C), and represents the average cost of a medical termination of pregnancy at less than 14 weeks gestation.  Also see the related subsidiary cost for terminations between 14 and 20 weeks gestation.  The source also gives average costs for elective and non-elective inpatients, day cases and outpatients (search the Reference Costs workbook by entering 'MA18C' in the Excel Find tool to find specific data).</t>
  </si>
  <si>
    <t>Reference Cost Collection: National Schedule of Reference Costs - Year 2013-14 - NHS trusts and NHS foundation trusts (Currency code MA18C)</t>
  </si>
  <si>
    <t>Reference Cost Collection: National Schedule of Reference Costs - Year 2013-14 - NHS trusts and NHS foundation trusts (Currency code MA18D)</t>
  </si>
  <si>
    <t>This cost is sourced from the NHS Reference Costs 2011-12 (HRG code MA18D), and represents the average cost of a medical termination of pregnancy between 14 and 20 weeks gestation.  Also see the related subsidiary cost for terminations at less than 14 weeks gestation.  The source also gives average costs for elective and non-elective inpatients, day cases and outpatients (search the Reference Costs workbook by entering 'MA18D' in the Excel Find tool to find specific data).</t>
  </si>
  <si>
    <t>Reference Cost Collection: National Schedule of Reference Costs - Year 2013-14 - NHS trusts and NHS foundation trusts (Currency code MB08A and MB08B)</t>
  </si>
  <si>
    <t>This cost is sourced from the NHS Reference Costs 2013-14 (HRG code MB08A and MB08B), and represents the average cost of a threatened or spontaneous miscarriage.  The source also gives average costs for elective and non-elective inpatients and day cases (search the Reference Costs workbook by entering 'MB08' in the Excel Find tool to find specific data).  The source differentiates between the average cost of a threatened or spontaneous miscarriage with interventions (£1,885 at 2013-14 prices) and without interventions (£551).</t>
  </si>
  <si>
    <t>Reference Cost Collection: National Schedule of Reference Costs - Year 2013-14 - weighted average of all day cases HRG data ('DC' worksheet)</t>
  </si>
  <si>
    <t>This cost has been calculated from the NHS Reference Costs 2013-14, and represents the average cost per 'finished consultant episode' (FCE) for hospital day cases - an FCE (or hospital episode) is a period of admitted patient care under a single consultant, within a single healthcare provider.  It has been derived from the average day case costs given in the source 'DC' worksheet.</t>
  </si>
  <si>
    <t>This cost has been calculated from the NHS Reference Costs 2011-12 (an updated cost is not available from the 2013 Reference Costs publication), and represents the weighted average cost per regular attendance at hospital day care facilities.  It has been derived from the average costs across all currency codes detailed in the source 'DCFRAD' worksheet.  The constituent data gives average costs for regular attendance at hospital day care facilities for the following groups: stroke patients, £188; elderly patients, £134; other patients £148.  Note, however, that the number of data submissions on which these averages are based is low in comparison with most Reference Cost data, hence the amber flag applied.</t>
  </si>
  <si>
    <t>Reference Cost Collection: National Schedule of Reference Costs - Year 2013-14 - weighted average of currency codes ASS01 and ASS02 ('AMB' worksheet)</t>
  </si>
  <si>
    <t>Reference Cost Collection: National Schedule of Reference Costs - Year 2013-14 - currency code ASS01 ('AMB' worksheet)</t>
  </si>
  <si>
    <t>Reference Cost Collection: National Schedule of Reference Costs - Year 2013-14 - currency code ASS02 ('AMB' worksheet)</t>
  </si>
  <si>
    <t>Reference Cost Collection: National Schedule of Reference Costs - Year 2013-14 - currency code ASC1 ('AMB' worksheet)</t>
  </si>
  <si>
    <t>This cost is sourced from the NHS Reference Costs 2013-14 (currency code ASS02), and represents the average cost per call-out for ambulance services where the patient is seen, treated accordingly, and conveyed to hospital.  See the related subsidiary measure for (currency code ASS01, where an ambulance is called out, treatment/referral provided, but the patient is not conveyed by the ambulance to hospital.  This cost line, along with the related measure on 'seeing and treating or referring patients', contributes to the headline measure that gives a weighted average for the cost of an ambulance call out.</t>
  </si>
  <si>
    <t>This cost is sourced from the NHS Reference Costs 2013-14 (currency code ASS01), and represents the average cost per call-out for ambulance services where the patient is seen and treated accordingly or referred onwards - note that the patient is not conveyed by the ambulance to hospital (see the related subsidiary cost, for currency code ASS02, for data on this measure).  This cost line, along with the related measure on 'seeing, treating and conveying patients', contributes to the headline measure that gives a weighted average for the cost of an ambulance call out.</t>
  </si>
  <si>
    <t>This cost is sourced from the NHS Reference Costs 2013-14 (currency code ASC1), and represents the average cost per (999) call to the ambulance services, but where no further action is taken and an ambulance is not sent out to see the patient.</t>
  </si>
  <si>
    <t>This is the average cost per hour for an NHS community-based occupational therapist.  The source also quotes data including qualification costs, at £36 per hour (all costs quoted in this cell are given at 2013-14 prices).  Related data are given for one‐to‐one contact with community occupational therapy services, at an average £77 per contact.  The costs are derived from salary costs (including on-costs such as national insurance and pension contributions), plus an element to account for a proportion of overheads (e.g. management, admin, travel, telephone, supplies and services, utilities) and capital costs.  The source also provides London and non-London multipliers (see p.180 for details).</t>
  </si>
  <si>
    <t>Unit Costs of Health &amp; Social Care 2014 (Curtis, 2014), p.184</t>
  </si>
  <si>
    <t>This is the average cost per hour for a community pharmacist.  The source also quotes data including qualification costs, at £57 per hour (all costs quoted in this cell are given at 2013-14 prices).  Related costs are given per hour of direct clinical activities (£128, or £142 including qualification costs), and per hour of patient-related activities (£64, or £71 including qualification costs).  The costs are derived from salary costs (including on-costs such as national insurance and pension contributions), plus an element to account for a proportion of overheads (e.g. management, admin, travel, telephone, supplies and services, utilities) and capital costs.  The source also provides London and non-London multipliers (see p.184 for details).</t>
  </si>
  <si>
    <t>This cost is taken from the NHS Reference Costs 2013-14 (MH worksheet), and is provided under the 'Mental health' section.  It represents the unit cost per contact with community-based alcohol services provision for children and adolescents.</t>
  </si>
  <si>
    <t>This cost is sourced from the NHS PbR Tariffs 2014-15 workbook.  It is the tariff paid by health commissioners for admitted patient care and outpatient procedures for a primary total hip replacement with complications (HRG code HB12B, for 'Major Hip Procedures for non Trauma Category 1 with CC' [complications and comorbidities]; see the source worksheet '01. APC &amp; OPROC').  The source also details a tariff for a hip replacement without complications (HRG code HB12C, for 'Major Hip Procedures for non Trauma Category 1 without CC'), of £5,220 (2014-15 prices).  The costs quoted are the 'Combined day case/ordinary elective tariff', but the 'Non-elective spell' tariffs are the same.  In addition, tariffs are provided for Category 1 procedures with major CC, and Category 2 procedures with/without CC - see the source workbook for details.</t>
  </si>
  <si>
    <t>This cost has been calculated from the NHS Reference Costs 2013-14, and represents the average cost per call-out for ambulance services where the patient is seen, treated accordingly, and either referred or conveyed to hospital (Currency codes ASS01 and ASS02).  It has been derived from the weighted average of the two 'See ...' cost lines given in the 'AMB' worksheet in the source database - the individual costs are given below as subsidiary measures.  Other subsidiary measures provide costs for 999 calls to ambulance services without further action, and 999 calls to ambulance services where treatment advice or onward referral is provided over the telephone, but an ambulance is not sent out.  Across all these measures, the weighted average for calls to ambulance services is £99 (2013-14 prices; derived from currency codes ASS01, ASS02, ASC1 and ASH1).</t>
  </si>
  <si>
    <t>Dietician, hospital - cost per hour (excluding qualification costs)</t>
  </si>
  <si>
    <t>This is the average cost per hour for a community-based health visitor.  The source also quotes data including qualification costs at £50 per hour (2013-14 prices).  Related costs are given per hour of patient-related work (£65, or £76 including qualification costs; 2013-14 prices).  In addition, data are provided for the average cost of a face-to-face contact with health visiting services, at £51 per contact (again, 2013-14 prices). The costs are derived from salary costs (including on-costs such as national insurance and pension contributions), plus an element to account for a proportion of overheads (e.g. management, admin, travel, telephone, supplies and services, utilities) and capital costs.  The source also provides London and non-London multipliers (see p.189 for details).  The Unit Costs of Health &amp; Social Care 2013 publication gives related costs per hour of home visiting (£61, or £71 including qualification costs; both at 2012-13 prices).</t>
  </si>
  <si>
    <t>Unit Costs of Health &amp; Social Care 2014 (Curtis, 2014), p.181</t>
  </si>
  <si>
    <t>This is the average cost per hour for a community-based speech and language therapist.  The source also quotes data including qualification costs, at £36 per hour (all costs quoted in this cell are given at 2013-14 prices).  Related data are given for one‐to‐one contact with community speech and language therapy services, at an average £90 per contact.  The costs are derived from salary costs (including on-costs such as national insurance and pension contributions), plus an element to account for a proportion of overheads (e.g. management, admin, travel, telephone, supplies and services, utilities) and capital costs.  The source also provides London and non-London multipliers (see p.181 for details).</t>
  </si>
  <si>
    <t>Unit Costs of Health &amp; Social Care 2014 (Curtis, 2014), p.182</t>
  </si>
  <si>
    <t>This is the average cost per hour for a community-based chiropodist/podiatrist.  The source also quotes related data for contact with community chiropody/podiatry services, at an average £42 per contact (2013-14 prices).  The costs are derived from salary costs (including on-costs such as national insurance and pension contributions), plus an element to account for a proportion of overheads (e.g. management, admin, travel, telephone, supplies and services, utilities) and capital costs.  The source also provides London and non-London multipliers (see p.182 for details).</t>
  </si>
  <si>
    <t>Unit Costs of Health &amp; Social Care 2014 (Curtis, 2014), p.179</t>
  </si>
  <si>
    <t>This is the average cost per hour for a community-based physiotherapist.  The source also quotes data including qualification costs, at £36 per hour (all costs quoted in this cell are given at 2013-14 prices).  Related data are given for one‐to‐one contact with community physiotherapy services, at an average £51 per contact.  The costs are derived from salary costs (including on-costs such as national insurance and pension contributions), plus an element to account for a proportion of overheads (e.g. management, admin, travel, telephone, supplies and services, utilities) and capital costs.  The source also provides London and non-London multipliers (see p.179 for details).</t>
  </si>
  <si>
    <t>Unit Costs of Health &amp; Social Care 2014 (Curtis, 2014), p.180</t>
  </si>
  <si>
    <t>This is the average cost for a non-consultant led (non-admitted) outpatient attendance with a hospital-based speech and language therapist.  It is taken from the NHS Reference Costs 2013-14 (see 'Total Outpatient Attendances' worksheet, service code 652).  Note that this cost is not directly comparable with the cost per hour data quoted above, which is taken from the Unit Costs of Health and Social Care 2012 publication, and is derived in a different way.</t>
  </si>
  <si>
    <t>Reference Cost Collection: National Schedule of Reference Costs - Year 2013-14.  Weighted average of currency codes A08A1-A08CG</t>
  </si>
  <si>
    <t>Updated to 2013-14 value (cost description has changed)</t>
  </si>
  <si>
    <t>Alcohol Services, Adult, Admitted Patient</t>
  </si>
  <si>
    <t>Clinical Commissioning Group</t>
  </si>
  <si>
    <t>Reference Cost Collection: National Schedule of Reference Costs - Year 2013-14 - NHS trusts and NHS foundation trusts - Mental Health (currency code ALCAAP)</t>
  </si>
  <si>
    <t>This cost is taken from the NHS Reference Costs 2013-14 (MH worksheet), and is provided under the 'Mental health' section.  It represents the unit cost per bed day for adults.</t>
  </si>
  <si>
    <t>This cost is taken from the NHS Reference Costs 2013-14 (MH worksheet), and is provided under the 'Mental health' section.  It represents the unit cost per bed day for adults admitted to hospital.</t>
  </si>
  <si>
    <t>Reference Cost Collection: National Schedule of Reference Costs - Year 2013-14 - NHS trusts and NHS foundation trusts - Mental Health (currency code ALCCAP)</t>
  </si>
  <si>
    <t>Alcohol Services, Adult, Outpatient Attendances</t>
  </si>
  <si>
    <t>Reference Cost Collection: National Schedule of Reference Costs - Year 2013-14 - NHS trusts and NHS foundation trusts - Mental Health (currency code ALCAOP)</t>
  </si>
  <si>
    <t>This cost is taken from the NHS Reference Costs 2013-14 (MH worksheet), and is provided under the 'Mental health' section.  It represents the unit cost per bed day for children and adolescents admitted to hospital.  Note that it is based upon only one data submission (most of the costs in the NHS database are derived from an average of multiple data submissions), and is significantly higher than the related data for adults, hence the amber flag - the quoted cost should be used with caution.</t>
  </si>
  <si>
    <t>This cost is taken from the NHS Reference Costs 2013-14 (MH worksheet), and is provided under the 'Mental health' section.  It represents the unit cost per outpatient attendance for adults.</t>
  </si>
  <si>
    <t>Alcohol Services, Adult, Community Contacts</t>
  </si>
  <si>
    <t>Per contact</t>
  </si>
  <si>
    <t>Reference Cost Collection: National Schedule of Reference Costs - Year 2013-14 - NHS trusts and NHS foundation trusts - Mental Health (currency code ALCACC)</t>
  </si>
  <si>
    <t>This cost is taken from the NHS Reference Costs 2013-14 (MH worksheet), and is provided under the 'Mental health' section.  It represents the unit cost per contact with community-based alcohol services provision for adults.</t>
  </si>
  <si>
    <t>Alcohol Services, Children and Adolescents, Community Contacts</t>
  </si>
  <si>
    <t>Reference Cost Collection: National Schedule of Reference Costs - Year 2013-14 - NHS trusts and NHS foundation trusts - Mental Health (currency code ALCCCC)</t>
  </si>
  <si>
    <t>Rehabilitation for drug or alcohol addiction</t>
  </si>
  <si>
    <t>Reference Cost Collection: National Schedule of Reference Costs - Year 2013-14 - NHS trusts and NHS foundation trusts - Mental Health (currency code VC26Z)</t>
  </si>
  <si>
    <t>This cost is taken from the NHS Reference Costs 2013-14, and is the average cost per hospital admission for rehabilitation services related to drug and alcohol addiction.  It represents an average of costs for the following types of rehabilitation: ‘complex specialised’ rehabilitation services (CSRS) (Level 1); ‘specialised’ rehabilitation services (SRS) (Level 2); and ‘non-specialist’ rehabilitation services (NSRS) (Level 3).  Specific costs for these types of rehabilitation provision are available in the source workbook.</t>
  </si>
  <si>
    <t>Drug Services, Adult, Admitted Patient</t>
  </si>
  <si>
    <t>Reference Cost Collection: National Schedule of Reference Costs - Year 2013-14 - NHS trusts and NHS foundation trusts - Mental Health (currency code DRUAAP)</t>
  </si>
  <si>
    <t>This cost is taken from the NHS Reference Costs 2011-12 (NSRC01 2011-12 worksheet), and is provided under the 'Mental health: community contacts' section (an updated cost is not available from the 2013 Reference Costs publication).  It represents the unit cost per contact with community-based drug services provision for children and adolescents.  Note that it is based upon only one data submission (most of the costs in the NHS database are derived from an average of multiple data submissions), and is significantly lower than the related data for adults, hence the amber flag - the quoted cost should be used with caution.</t>
  </si>
  <si>
    <t>Drug Services, Adult, Outpatient Attendances</t>
  </si>
  <si>
    <t>Reference Cost Collection: National Schedule of Reference Costs - Year 2013-14 - NHS trusts and NHS foundation trusts - Mental Health (currency code DRUAOP)</t>
  </si>
  <si>
    <t>Drug Services, Children and Adolescents, Outpatient Attendances</t>
  </si>
  <si>
    <t>Reference Cost Collection: National Schedule of Reference Costs - Year 2013-14 - NHS trusts and NHS foundation trusts - Mental Health (currency code DRUCOP)</t>
  </si>
  <si>
    <t>Drug Services, Adult, Community Contacts</t>
  </si>
  <si>
    <t>Reference Cost Collection: National Schedule of Reference Costs - Year 2013-14 - NHS trusts and NHS foundation trusts - Mental Health (currency code DRUACC)</t>
  </si>
  <si>
    <t>This cost is taken from the NHS Reference Costs 2011-12 (NSRC01 2011-12 worksheet), and is provided under the 'Mental health' section.  It represents the unit cost per attendance for children and adolescents.  Note that it is based upon only one data submission (most of the costs in the NHS database are derived from an average of multiple data submissions), and is significantly higher than the related data for adults, hence the amber flag - the quoted cost should be used with caution.</t>
  </si>
  <si>
    <t>This cost is taken from the NHS Reference Costs 2013-14 (MH worksheet), and is provided under the 'Mental health' section.   It represents the unit cost per attendance for adults.</t>
  </si>
  <si>
    <t>This cost is taken from the NHS Reference Costs 2013-14 (MH worksheet), and is provided under the 'Mental health' section.  It represents the unit cost per contact with community-based drug services provision for adults.</t>
  </si>
  <si>
    <t>Drug Services, Children and Adolescents, Community Contacts</t>
  </si>
  <si>
    <t>Reference Cost Collection: National Schedule of Reference Costs - Year 2013-14 - NHS trusts and NHS foundation trusts - Mental Health (currency code DRUCCC)</t>
  </si>
  <si>
    <t>This cost is taken from the NHS Reference Costs 2013-14 (MH worksheet), and is provided under the 'Mental health' section. It represents the unit cost per contact with community-based drug services provision for children and adolescents.</t>
  </si>
  <si>
    <t>This cost is sourced from NHS Reference Costs 2011-12 (an updated cost is not available from the 2013 Reference Costs publication), and is a weighted average cost for A&amp;E attendance (using values from HRG codes VB01Z-VB11Z), covering all attendances including scenarios both where investigation and treatment are received, and where they are not received (see related headline measures below for unit costs for each of these scenarios).  The unit cost varies by type of A&amp;E setting as follows: A&amp;E attendance at an NHS foundation trust or NHS trust hospital: admission £157, non-admission £108; A&amp;E minor injury units: admission £74; non-admission £60; A&amp;E walk-in centres: admission and non-admission, both £42; non-24 hour A&amp;E/Casualty departments, admission £100, non-admission £53).  Subsidiary costs (see below) have been calculated across all settings for A&amp;E attendance that (a) leads to hospital admission, and (b) does not lead to admission (see below) [all costs in this cell are quoted at 2011-12 prices].</t>
  </si>
  <si>
    <t>This is a subsidiary cost to the above headline cost, and is a weighted average calculated from NHS Reference Costs 2011-12 data (an updated cost is not available from the 2013 Reference Costs publication).  It provides an average cost for A&amp;E attendance of any type (including where investigation and treatment of different types/degrees are undertaken, and where they are not), when patients are subsequently admitted to hospital.  As with the headline cost (see comments cell above), the value will vary across different A&amp;E settings.</t>
  </si>
  <si>
    <t>This is a subsidiary cost to the above headline cost, and is a weighted average calculated from NHS Reference Costs 2011-12 data (an updated cost is not available from the 2013 Reference Costs publication).  It provides an average cost for A&amp;E attendance of any type (including where investigation and treatment of different types/degrees are undertaken, and where they are not), when patients are subsequently not admitted to hospital.  As with the headline cost (see comments cell above), the value will vary across different A&amp;E settings.</t>
  </si>
  <si>
    <t>This cost is particularly useful when undertaking modelling or business planning around reducing unnecessary/avoidable A&amp;E attendance.  The data are sourced from NHS Reference Costs 2011-12 (HRG code VB11Z; an updated cost is not available from the 2013 Reference Costs publication), and represent an average cost for A&amp;E attendance when patients receive no investigation and no significant treatment across a range of settings.  The unit cost varies by type of A&amp;E setting as follows: A&amp;E attendance with no investigation and no significant treatment at an NHS foundation trust or NHS trust hospital: admission £94, non-admission £71; A&amp;E minor injury units: admission £49; non-admission £51; A&amp;E walk-in centres: admission £42, non-admission £38; non-24 hour A&amp;E/Casualty departments, admission £99, non-admission £38.  Subsidiary costs have been calculated for A&amp;E attendance with no investigation and no significant treatment that (a) leads to hospital admission, and (b) does not lead to admission (see below).  Note that the related 2011-12 NHS tariff for A&amp;E attendance with no investigation and no significant treatment is lower, at £52 per incident (see http://www.dh.gov.uk/prod_consum_dh/groups/dh_digitalassets/documents/digitalasset/dh_125398.xls) [all costs in this cell are quoted at 2011-12 prices].</t>
  </si>
  <si>
    <t>This is a subsidiary cost to the above headline cost, and is a weighted average calculated from NHS Reference Costs 2011-12 data (an updated cost is not available from the 2013 Reference Costs publication).  It provides an average cost for A&amp;E attendance when patients receive no investigation and no significant treatment, but are admitted to hospital.  As with the headline cost (see comments cell above), the value will vary across different A&amp;E settings.</t>
  </si>
  <si>
    <t>This is an average weekly cost of Housing Benefit awards to Private Regulated Tenants in the private rented sector.  The data are released by DWP on a monthly basis (quoted figures are for November 2014).</t>
  </si>
  <si>
    <t>This is an average weekly cost of Housing Benefit awards to Private Deregulated Tenants in the private rented sector who are claiming Local Housing Allowance.  The data are released by DWP on a monthly basis (quoted figures are for November 2014).</t>
  </si>
  <si>
    <t>This is an average weekly cost of Housing Benefit awards to Private Deregulated Tenants in the private rented sector who are not claiming Local Housing Allowance.  The data are released by DWP on a monthly basis (quoted figures are for November 2014).</t>
  </si>
  <si>
    <t>These are the average fiscal, economic and social costs per incident of crime for 'serious wounding'.  Note that for modelling purposes, a multiplier may need to be applied to convert incidents of recorded crime to actual crime (see the CBA Guidance document - the average multiplier for Greater Manchester for 2011/12 was 1.5).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</si>
  <si>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'other wounding'.  For modelling purposes, a multiplier may need to be applied to convert incidents of recorded crime to actual crime (see the CBA Guidance document - the average multiplier for Greater Manchester for 2011/12 was 1.5).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</si>
  <si>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sexual offences.  Note that for modelling purposes, a multiplier may need to be applied to convert incidents of recorded crime to actual crime (see the CBA Guidance document - the average multiplier for Greater Manchester for 2011/12 was 13.6).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</si>
  <si>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common assault.  Note that for modelling purposes, a multiplier may need to be applied to convert incidents of recorded crime to actual crime (see the CBA Guidance document - the average multiplier for Greater Manchester for 2011/12 was 7.9).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</si>
  <si>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robbery.  Note that for modelling purposes, a multiplier may need to be applied to convert incidents of recorded crime to actual crime (see the CBA Guidance document - the average multiplier for Greater Manchester for 2011/12 was 4.8).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</si>
  <si>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HE7.1</t>
  </si>
  <si>
    <t>(Updated cost not available from the 2013-14 Reference Costs publication).  Renumbered</t>
  </si>
  <si>
    <t>(Updated cost not available from the 2013-14 Reference Costs publication).  Restructured and renumbered</t>
  </si>
  <si>
    <t>HE8.1</t>
  </si>
  <si>
    <t>HE8.2</t>
  </si>
  <si>
    <t>AMBULANCE</t>
  </si>
  <si>
    <t>Updated to 2013-14 value.  Renumbered</t>
  </si>
  <si>
    <t>Updated to 2014-15 tariff.  Renumbered</t>
  </si>
  <si>
    <t>HE10.3</t>
  </si>
  <si>
    <t>HE3.0.1</t>
  </si>
  <si>
    <t>HE3.0.2</t>
  </si>
  <si>
    <t>Updated to 2013-14 value.  Restructured and renumbered</t>
  </si>
  <si>
    <t>Costs updated to values in PSSRU 2014 publication.  Restructured and renumbered</t>
  </si>
  <si>
    <t>Updated to 2013-14 value.  Change in cost definition.  Restructured and renumbered</t>
  </si>
  <si>
    <t>THERAPY</t>
  </si>
  <si>
    <t>Economic costs differentiated in separate column, and comments cell revised.  Restructured (moved from Health theme to Social Services)</t>
  </si>
  <si>
    <t>Restructured (moved from Health theme to Social Services)</t>
  </si>
  <si>
    <t>SS16.0.1</t>
  </si>
  <si>
    <t>SS16.0.2</t>
  </si>
  <si>
    <t>SS16.0.3</t>
  </si>
  <si>
    <t>SS16.0.4</t>
  </si>
  <si>
    <t>SS18.0</t>
  </si>
  <si>
    <t>SS18.1</t>
  </si>
  <si>
    <t>SS18.2</t>
  </si>
  <si>
    <t>SS18.3</t>
  </si>
  <si>
    <t>SS18.4</t>
  </si>
  <si>
    <t>SS18.5</t>
  </si>
  <si>
    <t>SS18.6</t>
  </si>
  <si>
    <t>SS18.7</t>
  </si>
  <si>
    <t>SS18.8</t>
  </si>
  <si>
    <t>SS18.9</t>
  </si>
  <si>
    <t>SS18.10</t>
  </si>
  <si>
    <t>SS18.11</t>
  </si>
  <si>
    <t>SS18.12</t>
  </si>
  <si>
    <t>Costs updated to values in PSSRU 2014 publication.  Renumbered</t>
  </si>
  <si>
    <t>Not updated in subsequent editions of the PSSRU Unit Costs.  Renumbered</t>
  </si>
  <si>
    <t>HE7.2</t>
  </si>
  <si>
    <t>HE7.3</t>
  </si>
  <si>
    <t>HE7.4</t>
  </si>
  <si>
    <t>HE7.5</t>
  </si>
  <si>
    <t>HE7.6</t>
  </si>
  <si>
    <t>HE7.7</t>
  </si>
  <si>
    <t>HE7.8</t>
  </si>
  <si>
    <t>HE7.9</t>
  </si>
  <si>
    <t>HE7.10</t>
  </si>
  <si>
    <t>HE7.11</t>
  </si>
  <si>
    <t>HE7.12</t>
  </si>
  <si>
    <t>HE7.13</t>
  </si>
  <si>
    <t>HE7.14</t>
  </si>
  <si>
    <t>HE8.3</t>
  </si>
  <si>
    <t>HE10.4</t>
  </si>
  <si>
    <t>HE10.5</t>
  </si>
  <si>
    <t>HE10.6</t>
  </si>
  <si>
    <t>HE10.7</t>
  </si>
  <si>
    <t>HE10.8</t>
  </si>
  <si>
    <t>HE10.9</t>
  </si>
  <si>
    <t>HE10.10</t>
  </si>
  <si>
    <t>HE10.11</t>
  </si>
  <si>
    <t>HE10.12</t>
  </si>
  <si>
    <t>HE10.13</t>
  </si>
  <si>
    <t>HE10.14</t>
  </si>
  <si>
    <t>HE10.15</t>
  </si>
  <si>
    <t>HE10.16</t>
  </si>
  <si>
    <t>HE10.17</t>
  </si>
  <si>
    <t>Average cost of service provision for adults suffering from any type of mental health disorder, including dementia, per person per year - fiscal and economic costs</t>
  </si>
  <si>
    <t>Average cost of service provision for adults suffering from any type of mental health disorder, excluding dementia, per person per year - fiscal and economic costs</t>
  </si>
  <si>
    <t>Average cost of service provision for adults suffering from depression, per person per year - fiscal and economic costs</t>
  </si>
  <si>
    <t>Average cost of service provision for adults suffering from anxiety disorders, per person per year - fiscal and economic costs</t>
  </si>
  <si>
    <t>Average cost of service provision for adults suffering from schizophrenic disorders, per person per year - fiscal and economic costs</t>
  </si>
  <si>
    <t>Average cost of service provision for adults suffering from bipolar disorder and related conditions, per person per year - fiscal and economic costs</t>
  </si>
  <si>
    <t>Average cost of service provision for adults suffering from eating disorders, per person per year - fiscal and economic costs</t>
  </si>
  <si>
    <t>Average cost of service provision for adults suffering from personality disorder, per person per year - fiscal and economic costs</t>
  </si>
  <si>
    <t>Average cost of service provision for people suffering from dementia, per person per year - fiscal and economic costs</t>
  </si>
  <si>
    <t>Average cost of service provision for people suffering from mental health disorders, per person per year, including dementia (all ages, including children, adolescents and adults) - fiscal and economic costs</t>
  </si>
  <si>
    <t>Average cost of service provision for people suffering from mental health disorders, per person per year, excluding dementia (all ages, including children, adolescents and adults) - fiscal and economic costs</t>
  </si>
  <si>
    <t>HE12.7</t>
  </si>
  <si>
    <t>HE19.1</t>
  </si>
  <si>
    <t>HE20.1</t>
  </si>
  <si>
    <t>HE20.2</t>
  </si>
  <si>
    <t>HE20.3</t>
  </si>
  <si>
    <t>HE20.4</t>
  </si>
  <si>
    <t>HE20.5</t>
  </si>
  <si>
    <t>HE22.1</t>
  </si>
  <si>
    <t>HE23.2</t>
  </si>
  <si>
    <t>HE23.3</t>
  </si>
  <si>
    <t>HE23.4</t>
  </si>
  <si>
    <t>HE23.5</t>
  </si>
  <si>
    <t>HE23.6</t>
  </si>
  <si>
    <t>HE23.7</t>
  </si>
  <si>
    <t>HE23.8</t>
  </si>
  <si>
    <t>HE23.9</t>
  </si>
  <si>
    <t>HE7.0.1</t>
  </si>
  <si>
    <t>HE7.0.2</t>
  </si>
  <si>
    <t>HE7.1.1</t>
  </si>
  <si>
    <t>HE7.1.2</t>
  </si>
  <si>
    <t>HE7.1.3</t>
  </si>
  <si>
    <t>HE7.1.4</t>
  </si>
  <si>
    <t>HE7.1.5</t>
  </si>
  <si>
    <t>HE7.1.6</t>
  </si>
  <si>
    <t>HE7.10.1</t>
  </si>
  <si>
    <t>HE7.10.2</t>
  </si>
  <si>
    <t>HE7.11.1</t>
  </si>
  <si>
    <t>HE7.11.2</t>
  </si>
  <si>
    <t>HE7.11.3</t>
  </si>
  <si>
    <t>HE7.11.4</t>
  </si>
  <si>
    <t>HE24.0.1</t>
  </si>
  <si>
    <t>HE24.0.2</t>
  </si>
  <si>
    <t>Economic costs differentiated in separate column, and comments cell revised.  Renumbered</t>
  </si>
  <si>
    <t>(Updated cost not available from the Unit Costs of Health &amp; Social Care 2014 publication).  Renumbered</t>
  </si>
  <si>
    <t>Various restructuring (and associated renumbering) to move entries under more appropriate 'Outcome detail' headings.  Includes moving 'Programme' costs to Social Services theme, and new 'Ambulance' and 'Therapy' headings in the 'Outcome detail' column</t>
  </si>
  <si>
    <t>QUALIFICATIONS/ SKILLS</t>
  </si>
  <si>
    <t>Updated to 2013-14 value.  Restructured and renumbered.  New 'Outcome detail' heading</t>
  </si>
  <si>
    <t>Costs updated to values in PSSRU 2014 publication.  Renumbered.  New 'Outcome detail' heading</t>
  </si>
  <si>
    <t>DfE Section 251 data on LAC cost and 903 return data on number of LAC</t>
  </si>
  <si>
    <t>This worksheet underpins the rest of the database, providing tables listing the categories used for the drop-down lists, and the data used to uprate historical costs to account for inflation.  Note that to obtain uprated costs for the current year, please ensure that the entry in the (yellow shaded) 'Current year' cell (K11) is correct.  If you need to change this, the same format (e.g. 20xx/yy) should be used.</t>
  </si>
  <si>
    <t>These are the average fiscal, economic and social costs per incident of crime for homicide.  The economic value falling to individuals (and/or businesses) includes increased insurance costs and loss of property.  The social value is based upon the physical and emotional impact on direct victims of crime.</t>
  </si>
  <si>
    <t>Unit Cost Database (v.1.4) - Introduction</t>
  </si>
  <si>
    <t xml:space="preserve">http://neweconomymanchester.com/stories/1966 </t>
  </si>
  <si>
    <t>Unit Cost Database (v.1.4): Guidance</t>
  </si>
  <si>
    <r>
      <rPr>
        <b/>
        <sz val="14"/>
        <color indexed="8"/>
        <rFont val="Arial"/>
        <family val="2"/>
      </rPr>
      <t>1. Headline costs</t>
    </r>
    <r>
      <rPr>
        <sz val="14"/>
        <color indexed="8"/>
        <rFont val="Arial"/>
        <family val="2"/>
      </rPr>
      <t xml:space="preserve"> (initial columns highlighted in bold) - these are key cost lines for the main sub-themes in each worksheet, most of which are underpinned by subsidiary and/or constituent costs (see below).  When first opening up the database, the initial view should be the headline costs alone (you can return to this view at any time by clicking the '1' box towards the top left corner of the worksheet).</t>
    </r>
  </si>
  <si>
    <t xml:space="preserve">Instructions on how to navigate the database are given in the 'Guidance' worksheet.  Further detailed guidance is available on the New Economy website at </t>
  </si>
  <si>
    <t>Francis Markus, Principal - Public Service Reform</t>
  </si>
  <si>
    <t>Julian Cox, Deputy Director, Research</t>
  </si>
  <si>
    <t>David Morris, Head of Evaluation</t>
  </si>
  <si>
    <t>Rupert Greenhalgh, Principal</t>
  </si>
  <si>
    <r>
      <rPr>
        <b/>
        <sz val="14"/>
        <color indexed="8"/>
        <rFont val="Arial"/>
        <family val="2"/>
      </rPr>
      <t>2. Subsidiary costs</t>
    </r>
    <r>
      <rPr>
        <sz val="14"/>
        <color indexed="8"/>
        <rFont val="Arial"/>
        <family val="2"/>
      </rPr>
      <t xml:space="preserve"> (initial columns shaded in light blue) - these are cost lines that are related to the headline costs, covering a similar thematic area, but they may be of secondary importance to the average user.  Some are underpinned by constituent costs.  The subsidiary costs are opened up using the secondary level grouping (click the '2' box).</t>
    </r>
  </si>
  <si>
    <t>The costs are broken down into three types of values (columns H to P).  These are:</t>
  </si>
  <si>
    <r>
      <rPr>
        <b/>
        <sz val="14"/>
        <color indexed="8"/>
        <rFont val="Arial"/>
        <family val="2"/>
      </rPr>
      <t>• Fiscal value:</t>
    </r>
    <r>
      <rPr>
        <sz val="14"/>
        <color indexed="8"/>
        <rFont val="Arial"/>
        <family val="2"/>
      </rPr>
      <t xml:space="preserve"> costs or savings to the public sector that are due to a specific project (e.g. delivery of additional services or reduced health service, police or education costs).  The agencies that will bear the fiscal cost or make the fiscal saving are shown in columns F and G;</t>
    </r>
  </si>
  <si>
    <r>
      <rPr>
        <b/>
        <sz val="14"/>
        <color indexed="8"/>
        <rFont val="Arial"/>
        <family val="2"/>
      </rPr>
      <t>• Economic value:</t>
    </r>
    <r>
      <rPr>
        <sz val="14"/>
        <color indexed="8"/>
        <rFont val="Arial"/>
        <family val="2"/>
      </rPr>
      <t xml:space="preserve"> net increase in earnings or growth in the local economy;</t>
    </r>
  </si>
  <si>
    <r>
      <rPr>
        <b/>
        <sz val="14"/>
        <color indexed="8"/>
        <rFont val="Arial"/>
        <family val="2"/>
      </rPr>
      <t xml:space="preserve">• Social value: </t>
    </r>
    <r>
      <rPr>
        <sz val="14"/>
        <color indexed="8"/>
        <rFont val="Arial"/>
        <family val="2"/>
      </rPr>
      <t>wider gains to society such as improvements to health; educational attainment; access to transport or public services; safety; or reduced crime.</t>
    </r>
  </si>
  <si>
    <r>
      <t>Unit cost of custody served in prison (</t>
    </r>
    <r>
      <rPr>
        <u/>
        <sz val="10"/>
        <color indexed="8"/>
        <rFont val="Arial"/>
        <family val="2"/>
      </rPr>
      <t>over 18</t>
    </r>
    <r>
      <rPr>
        <sz val="10"/>
        <color indexed="8"/>
        <rFont val="Arial"/>
        <family val="2"/>
      </rPr>
      <t xml:space="preserve">)
(per person per month served in prison)
</t>
    </r>
  </si>
  <si>
    <t>Crisis resolution is an alternative to inpatient hospital care for service users with serious mental illness, offering flexible, home‐based care 24 hours a day, seven days a week.  This is the cost per hour per member of a crisis resolution team, which can include medical staff, nurses, psychologists, social workers, social care and other therapists.  The cost is derived from salary costs (including on-costs such as national insurance and pension contributions), plus an element to account for a proportion of overheads (management, admin, travel, telephone, supplies and services, utilities, etc.) and capital costs.  The source also provides London and non-London multipliers (see p.219 for details).  Related data are quoted for: the average cost per team contact (£185); the average annual cost per team member (£59,941); and the average cost per case (£29,971) (all costs are quoted at 2013-14 prices).</t>
  </si>
  <si>
    <t>This is a subsidiary cost to the above headline cost, and is a weighted average calculated from NHS Reference Costs 2011-12 data (an updated cost is not available from the 2013 Reference Costs publication).  It provides an average cost for A&amp;E attendance when patients receive no investigation and no significant treatment, and are not admitted to hospital.  As with the headline cost (see comments cell above), the value will vary across different A&amp;E settings.</t>
  </si>
  <si>
    <t>This cost is sourced from the NHS Reference Costs 2011-12 (an updated cost is not available from the 2013 Reference Costs publication), and is a weighted average of A&amp;E attendances when patients receive some form of (significant) investigation and subsequent treatment (note that it assumes A&amp;E attendance for dental care involves treatment) - it averages specific costs for different categories of investigation and different categories of treatment, with individual unit costs ranging from £296 per incident for a Category 3 investigation with Category 4 treatment, to £88 for a Category 1 investigation with Category 1-2 treatment and £83 for A&amp;E dental care (the HRG codes used for the weighted average are VB01Z-VB10Z).  As with the related A&amp;E headline costs, specific costs vary across different types of A&amp;E setting - weighted averages for A&amp;E attendance for any form of investigation and subsequent treatment have been calculated as follows: A&amp;E at an NHS foundation trust or NHS trust: £165 if admitted, £121 if not; A&amp;E minor injury units: £75 if admitted, £69 if not; A&amp;E walk-in centres: £35 if admitted, £46 if not; non-24 hour A&amp;E/Casualty departments: £103 if admitted, £68 if not.  Subsidiary costs have been calculated for A&amp;E attendance, any investigation with subsequent treatment that (a) leads to hospital admission, and (b) does not lead to admission (see below).</t>
  </si>
  <si>
    <t>This is a subsidiary cost to the above headline cost, and is a weighted average calculated from NHS Reference Costs 2011-12 data (an updated cost is not available from the 2013 Reference Costs publication).  It provides an average cost for A&amp;E attendance when patients receive any form of investigation and subsequent treatment, and are admitted to hospital (note that it assumes A&amp;E attendance for dental care involves treatment).  As with the headline cost (see comments cell above), the value will vary across different A&amp;E settings.</t>
  </si>
  <si>
    <t>This is a subsidiary cost to the above headline cost, and is a weighted average calculated from NHS Reference Costs 2011-12 data (an updated cost is not available from the 2013 Reference Costs publication).  It provides an average cost for A&amp;E attendance when patients receive any form of investigation and subsequent treatment, but are not admitted to hospital (note that it assumes A&amp;E attendance for dental care involves treatment).  As with the headline cost (see comments cell above), the value will vary across different A&amp;E settings.</t>
  </si>
  <si>
    <t>Reference Cost Collection: National Schedule of Reference Costs - Year 2013-14 - NHS trusts and NHS foundation trusts.  Weighted average of all elective inpatient, non-elective inpatient (long stay) and non-elective inpatient (short stay) data</t>
  </si>
  <si>
    <t>This cost has been calculated from the NHS Reference Costs 2013-14, and represents the average cost per 'finished consultant episode' (FCE) - an FCE (or hospital episode) is a period of admitted patient care under a single consultant, within a single healthcare provider.  It has been derived from the average costs for elective inpatient, non-elective (long stay) and non-elective (short-stay) episodes, the costs for which are provided in the subsidiary measures below.</t>
  </si>
  <si>
    <t>Reference Cost Collection: National Schedule of Reference Costs - Year 2013-14 - NHS trusts and NHS foundation trusts.  Weighted average of all elective inpatient data</t>
  </si>
  <si>
    <t>Reference Cost Collection: National Schedule of Reference Costs - Year 2013-14 - NHS trusts and NHS foundation trusts.  Weighted average of all non-elective inpatient (long stay) and non-elective inpatient (short stay) data</t>
  </si>
  <si>
    <t>All costs are updated to account for inflation (currently quoted at 2015/16 prices.  To change this, go to cell K11 in the 'Lookups' worksheet and select a different year - all cost entries will automatically update).  Note that the data are indicative, providing a generic indication of the likely scale of costs for different interventions and outcomes.  Most costs are based on national research and therefore may not correspond exactly to local costs.  In order to develop locally specific data, users may want to undertake research into costs in their area, or apply an appropriate discount to account for regional variations.</t>
  </si>
  <si>
    <t>New benefit value added to database</t>
  </si>
  <si>
    <t>New transaction cost added to database</t>
  </si>
  <si>
    <t>Profile of above subsidiary fiscal cost across agencies added to database</t>
  </si>
  <si>
    <t>Profile of above headline fiscal cost across agencies added to database</t>
  </si>
  <si>
    <t>New cost added into database, derived from the same source as the majority of other NEET entries</t>
  </si>
  <si>
    <t>Cost update to 2013-14 value</t>
  </si>
  <si>
    <t>Unit Costs of Health &amp; Social Care 2014 (Curtis, 2014), p.222</t>
  </si>
  <si>
    <t>Generic single-disciplinary CAMHS teams provide services for children and young people with particular mental health problems who require specific types of intervention within a defined geographical area.  The teams are typically staffed by clinical psychologists, educational psychologists and other therapists, although they can comprise primary mental health workers with a focus on psychological therapies.  This is the average cost per case handled by a CAMHS team of this type; the source also provides London and non-London multipliers (see p.222 in the source document for details).  See the constituent entry below for related cost per hour data.</t>
  </si>
  <si>
    <t>This is a constituent measure to the subsidiary entry above, and represents the cost per hour per member of a CAMHS generic single-disciplinary team (see the comments cell for the subsidiary entry above for further explanation).  It is derived from salary costs (including on-costs such as national insurance and pension contributions), plus an element to account for a proportion of overheads (management, admin, travel, telephone, training, supplies and services, utilities, etc.) and capital costs.  The source also provides London and non-London multipliers (see p.222 for details).  Related data are quoted for the cost per hour of patient-related activity (£69), and the cost per hour of face-to-face patient contact (£87); the annual cost per team member is given as £66,943 (all costs quoted at 2013-14 prices).</t>
  </si>
  <si>
    <t>Unit Costs of Health &amp; Social Care 2014 (Curtis, 2014), p.223</t>
  </si>
  <si>
    <t>Generic teams provide the backbone of specialist CAMHS provision, delivering a range of therapeutic interventions to local children, young people and families.   Multi-disciplinary generic teams are typically staffed by a range of different mental health professionals.  This is the average cost per case handled by a CAMHS team of this type; the source also provides London and non-London multipliers (see p.223 in the source document for details).  See the constituent entry below for related cost per hour data.</t>
  </si>
  <si>
    <t>This is a constituent measure to the subsidiary entry above, and represents the cost per hour per member of a CAMHS generic multi-disciplinary team (see the comments cell for the subsidiary entry above for further explanation).  It is derived from salary costs (including on-costs such as national insurance and pension contributions), plus an element to account for a proportion of overheads (management, admin, travel, telephone, training, supplies and services, utilities, etc.) and capital costs.  The source also provides London and non-London multipliers (see p.223 for details).  Related data are quoted for the cost per hour of patient-related activity (£91), and the cost per hour of face-to-face patient contact (£115) (all costs quoted at 2013-14 prices).</t>
  </si>
  <si>
    <t>Unit Costs of Health &amp; Social Care 2014 (Curtis, 2014), p.224</t>
  </si>
  <si>
    <t xml:space="preserve">Dedicated CAMHS workers are fully trained child and adolescent mental health professionals who are out‐posted in teams that are not specialist CAMHS teams but have a wider function, such as a youth offending team or a generic social work children’s team.  This is the average cost per case handled by a CAMHS team of this type; the source also provides London and non-London multipliers (see p.224 in the source document for details).  See the constituent entry below for related cost per hour data.
</t>
  </si>
  <si>
    <t>This is a constituent measure to the subsidiary entry above, and represents the cost per hour per member of a CAMHS dedicated team (see the comments cell for the subsidiary entry above for further explanation).  It is derived from salary costs (including on-costs such as national insurance and pension contributions), plus an element to account for a proportion of overheads (management, admin, travel, telephone, training, supplies and services, utilities, etc.) and capital costs.  The source also provides London and non-London multipliers (see p.224 for details).  Related data are quoted for the cost per hour of patient-related activity (£67), and the cost per hour of face-to-face patient contact (£84) (all costs quoted at 2013-14 prices).</t>
  </si>
  <si>
    <t>Unit Costs of Health &amp; Social Care 2014 (Curtis, 2014), p.225</t>
  </si>
  <si>
    <t xml:space="preserve">Targeted CAMHS teams provide services for children and young people with particular problems or for those requiring particular types of therapeutic interventions.  This is the average cost per case handled by a targeted CAMHS team; the source also provides London and non-London multipliers (see p.225 in the source document for details).  See the constituent entry below for related cost per hour data.
</t>
  </si>
  <si>
    <t>This is a constituent measure to the subsidiary entry above, and represents the cost per hour per member of a CAMHS targeted team (see the comments cell for the subsidiary entry above for further explanation).  It is derived from salary costs (including on-costs such as national insurance and pension contributions), plus an element to account for a proportion of overheads (management, admin, travel, telephone, training, supplies and services, utilities, etc.) and capital costs.  The source also provides London and non-London multipliers (see p.225 for details).  Related data are quoted for the cost per hour of patient-related activity (£72), and the cost per hour of face-to-face patient contact (£91) (all costs quoted at 2013-14 prices).</t>
  </si>
  <si>
    <t>Unit Costs of Health &amp; Social Care 2014 (Curtis, 2014), p.94</t>
  </si>
  <si>
    <t>This is the cost per CBT session delivered by/within a CAMHS team setting.  Related values are given in the Unit Costs of Health &amp; Social Care 2013 (PSSRU, 2013) for the labour cost per hour (per team member), at £50, and the labour cost per hour for face-to-face contact, at £99 (2012-13 prices; see p.52 in the 2013 edition).  Costs are derived from salary costs (including on-costs such as national insurance and pension contributions), plus an element to account for a proportion of overheads (management, admin, travel, telephone, supplies and services, utilities, etc.) and capital costs.  Note that the 2013 Unit Costs publication also quotes a range of CBT costs for different types of CBT intervention, patient group and therapist (see p.18).</t>
  </si>
  <si>
    <t>Unit Costs of Health &amp; Social Care 2014 (Curtis, 2014), p.188</t>
  </si>
  <si>
    <t>This is the cost per hour for a community-based mental health nurse; including qualification costs, it becomes £39 per hour.  Related costs are given per hour of face-to-face contact (£66, or £74 including qualification costs) and per hour of patient-related work (£47, or £52 including qualification costs).  The costs are derived from salary costs (including on-costs such as national insurance and pension contributions), plus an element to account for a proportion of overheads (management, admin, travel, telephone, supplies and services, utilities) and capital costs.  The source also provides London and non-London multipliers (see p.188 for details).  All costs quoted here are at 2013-14 prices.</t>
  </si>
  <si>
    <t>Unit Costs of Health &amp; Social Care 2014 (Curtis, 2014), p.217</t>
  </si>
  <si>
    <t>NHS community mental health team (CMHT) for older people with mental health problems, cost per hour per team member</t>
  </si>
  <si>
    <t>NHS community mental health team (CMHT) for adults with mental health problems, cost per hour per team member</t>
  </si>
  <si>
    <t>Assertive outreach team for adults with mental health problems, cost per hour per team member</t>
  </si>
  <si>
    <t>Early intervention team for young adults and adolescents with mental health problems, cost per hour per team member</t>
  </si>
  <si>
    <t>Child and Adolescent Mental Health Service team - generic single-disciplinary team, average cost per hour per team member</t>
  </si>
  <si>
    <t>Child and Adolescent Mental Health Service team - generic multi-disciplinary team, average cost per hour per team member</t>
  </si>
  <si>
    <t>Child and Adolescent Mental Health Service team - dedicated team, average cost per hour per team member</t>
  </si>
  <si>
    <t>Child and Adolescent Mental Health Service team - targeted team, average cost per hour per team member</t>
  </si>
  <si>
    <t>Unit Costs of Health &amp; Social Care 2014 (Curtis, 2014), p.218</t>
  </si>
  <si>
    <t>This is the cost per hour per team member of community mental health team (CMHT) provision for older people with mental health problems - these teams can comprise community nurses, social workers/approved social workers, consultants and other types of health/social work professionals, and provide local mental health services that prioritise people with severe, longer-term problems.  The costs are derived from salary costs (including on-costs such as national insurance and pension contributions), plus an element to account for a proportion of overheads (management, admin, travel, telephone, supplies and services, utilities, etc.) and capital costs.  The source also provides London and non-London multipliers (see p.217 for details).  Related data are quoted for the average cost per face-to-face contact with the CMHT team (£132) and the average annual cost per team member (£64,407) (both at 2013-14 prices).  The 2012 edition of the Unit Costs of Health and Social Care gives an average cost per case (£2,211, at 2011-12 prices).</t>
  </si>
  <si>
    <t>This is the cost per hour per team member of community mental health team (CMHT) provision for adults with mental health problems - these teams can comprise community nurses, social workers/approved social workers, consultants and other types of health/social work professionals, and provide local mental health services that prioritise people with severe, longer-term problems.  The costs are derived from salary costs (including on-costs such as national insurance and pension contributions), plus an element to account for a proportion of overheads (management, admin, travel, telephone, supplies and services, utilities, etc.) and capital costs.  The source also provides London and non-London multipliers (see p.218 for details).  Related data are quoted for the average cost per face-to-face contact with the CMHT team (£128) and the average annual cost per team member (£58,281) (both at 2013-14 prices).  The 2012 edition of the Unit Costs of Health and Social Care gives an average cost per case (£2,528, at 2011-12 prices).</t>
  </si>
  <si>
    <t>Crisis resolution team for adults with mental health problems, cost per hour per team member</t>
  </si>
  <si>
    <t>Unit Costs of Health &amp; Social Care 2014 (Curtis, 2014), p.219</t>
  </si>
  <si>
    <t>Unit Costs of Health &amp; Social Care 2014 (Curtis, 2014), p.220</t>
  </si>
  <si>
    <t>These are the average fiscal, economic and social costs per incident of crime for theft of a commercial vehicle.  Note that for modelling purposes, a multiplier may need to be applied to convert incidents of recorded crime to actual crime (see the CBA Guidance document - the average multiplier for Greater Manchester for 2011/12 was 1.3).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</si>
  <si>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theft from a commercial vehicle.  Note that for modelling purposes, a multiplier may need to be applied to convert incidents of recorded crime to actual crime (see the CBA Guidance document - the average multiplier for Greater Manchester for 2011/12 was 3.5).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</si>
  <si>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These are the average fiscal, economic and social costs per incident of crime for attempted theft of a commercial vehicle.  Note that for modelling purposes, a multiplier may need to be applied to convert incidents of recorded crime to actual crime (see the CBA Guidance document - the average multiplier for Greater Manchester for 2011/12 was 2.3).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</si>
  <si>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These are the average fiscal and economic costs per incident of crime for shoplifting; note that there is no associated social cost.  For modelling purposes, a multiplier may need to be applied to convert incidents of recorded crime to actual crime (see the CBA Guidance document - the average multiplier for Greater Manchester for 2011/12 was 16.1).  To derive an annual fiscal or economic benefit, modelling may also need to take into account the average number of crime incidents committed per individual per year.
The economic value falling to individuals (and/or businesses) includes increased insurance costs and loss of property.</t>
  </si>
  <si>
    <t>These are the average fiscal, economic and social costs per incident of crime for criminal damage to commercial property.  Note that for modelling purposes, a multiplier may need to be applied to convert incidents of recorded crime to actual crime (see the CBA Guidance document - the average multiplier for Greater Manchester for 2011/12 was 5.9).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t>
  </si>
  <si>
    <t>This cost is sourced from the NHS Reference Costs 2011-12 (currency code ASH1), and represents the average cost per (999) call to the ambulance services where the patient receives treatment advice or onward referral, but an ambulance is not sent out.</t>
  </si>
  <si>
    <t>Reference Cost Collection: National Schedule of Reference Costs - Year 2013-14 - currency code ASH1 ('AMB' worksheet)</t>
  </si>
  <si>
    <t>Reference Cost Collection: National Schedule of Reference Costs - Year 2013-14 - service code 651 ('Total Outpatient Attendances' worksheet)</t>
  </si>
  <si>
    <t>Occupational therapy, hospital-based - cost per outpatient attendance</t>
  </si>
  <si>
    <t>Reference Cost Collection: National Schedule of Reference Costs - Year 2013-14 - service code 652 ('Total Outpatient Attendances' worksheet)</t>
  </si>
  <si>
    <t>This is the average cost for a non-consultant led (non-admitted) outpatient attendance with a hospital-based occupational therapist.  It is taken from the NHS Reference Costs 2011-12 (see 'Total Outpatient Attendances' worksheet, service code 651).  Note that this cost is not directly comparable with the cost per hour data quoted above, which is taken from the Unit Costs of Health and Social Care 2012 publication, and is derived in a different way.</t>
  </si>
  <si>
    <t>This is the average cost for a GP per hour of General Medical Services (GMS) activity; it includes costs relating to direct care staff (practice nurses).  The source quotes the same cost including qualification costs, at £146 per hour (all costs quoted in this cell are given at 2013-14 prices).  Related costs are given per hour of patient contact (£195, or £234 including qualification costs), and per minute of patient contact (£3.30, or £3.90 including qualification costs.  Data are also given excluding direct care staff costs: the average cost for a GP per hour of GMS activity becomes £109 (£134 including qualification costs), per hour of patient contact £175 (£266 including qualification costs, although it seems likely that this value is erroneous), and per minute of patient contact £2.90 (£3.60 including qualification costs).  The costs are derived from practice salary costs, including administrative and clerical staff (and including on-costs such as national insurance and pension contributions), premises costs and business overheads, and training and capital costs.  All costs are clearly presented in a summary table on p.195 of the source document, with related data and commentary on pp.194 and 196.</t>
  </si>
  <si>
    <t>This is the average cost for a GP per telephone consultation lasting an average 7.1 minutes; it includes costs relating to direct care staff (practice nurses).  The source quotes the same cost including qualification costs, at £28 per consultation (all costs quoted in this cell are given at 2013-14 prices).  Data are also quoted excluding direct care staff costs: the average cost for a 7.1 minute telephone consultation becomes £21 (£25 including qualification costs).  The costs are derived from practice salary costs, including administrative and clerical staff (and including on-costs such as national insurance and pension contributions), premises costs and business overheads, and training and capital costs.  All costs are clearly presented in a summary table on p.195 of the source document, with related data and commentary on pp.194 and 196.</t>
  </si>
  <si>
    <t>This is the average annual cost for a GP, and includes travel costs and costs relating to direct care staff (practice nurses).  The source quotes the same cost including qualification costs, at £264,884 per year (all costs quoted in this cell are given at 2013-14 prices).  Related costs are given excluding travel costs, at £218,878 per year, or £263,484 including qualification costs.  Data are also given excluding direct care staff costs: the average annual cost for a GP including travel costs becomes £197,943 (£242,548 including qualification costs), and excluding travel costs £196,543 (£241,148 including qualification costs).  The costs are derived from practice salary costs, including administrative and clerical staff (and including on-costs such as national insurance and pension contributions), premises costs and business overheads, and training and capital costs.  All costs are clearly presented in a summary table on p.195 of the source document, with related data and commentary on pp.194 and 196.</t>
  </si>
  <si>
    <t>This is the average cost per GP consultation of prescriptions issued; it represents the actual cost of the prescription, which is the net ingredient cost less the assumed average discount plus the container allowance and on-cost for appliance contractors.  The source also quotes the net ingredient cost of prescriptions alone (i.e. excluding discount, container allowance and on-costs for appliance contractors), at an average £44 per consultation (2013-14 prices).  Note the average costs are derived by dividing the number of prescriptions by the number of GP consultations, so will include consultations where prescriptions were not issued.  All costs are clearly presented in a summary table on p.195 of the source document, with related data and commentary on pp.194 and 196.</t>
  </si>
  <si>
    <t>Unit Costs of Health &amp; Social Care 2014 (Curtis, 2014), p.192</t>
  </si>
  <si>
    <t>This is the average cost per hour for a nurse based in a GP practice; including qualification costs, it becomes £41 per hour (all costs quoted in this cell are given at 2013-14 prices).  Related costs are given per hour of face-to-face contact, at £44, or £53 including qualification costs.  The costs are derived from salary costs (including on-costs such as national insurance and pension contributions), plus an element to account for a proportion of overheads (e.g. management, admin, travel, telephone, supplies and services, utilities) and capital costs.  The source also provides a London multiplier (see p.192 for details).</t>
  </si>
  <si>
    <t>Unit Costs of Health &amp; Social Care 2014 (Curtis, 2014), p.193</t>
  </si>
  <si>
    <t>This is the average cost per hour for an advanced nurse (Agenda for Change Band 7) - this includes lead specialists, clinical nurse specialists, and senior specialists.  The source also quotes data including qualification costs, at £58 per hour (all costs quoted in this cell are given at 2013-14 prices).  Related costs are given per hour in surgery (£88, or £99 including qualification costs), per hour of client contact (£80, or £90 including qualification costs), and per surgery consultation (£22, or £25 including qualification costs).  The costs are derived from salary costs (including on-costs such as national insurance and pension contributions), plus an element to account for a proportion of overheads (e.g. management, admin, travel, telephone, supplies and services, utilities) and capital costs.  The source also provides London and non-London multipliers (see p.193 for details).</t>
  </si>
  <si>
    <t>Unit Costs of Health &amp; Social Care 2014 (Curtis, 2014), p.187</t>
  </si>
  <si>
    <t>This is the average cost per hour for a community-based nurse (including district nursing sisters and district nurses); including qualification costs, it becomes £50 per hour (all costs quoted in this cell are given at 2013-14 prices).  Related data are given for the cost per hour of patient-related work, at £57, or £66 including qualification costs.  The source also quotes an average cost per face-to-face contact with district nursing services, at £39.  The costs are derived from salary costs (including on-costs such as national insurance and pension contributions), plus an element to account for a proportion of overheads (e.g. management, admin, travel, telephone, supplies and services, utilities) and capital costs.  The source also provides London and non-London multipliers (see p.187 for details).  The Unit Costs of Health &amp; Social Care 2013 publication gives an additional cost per hour of home visiting (including travel time), at £60, or £70 including qualification costs.</t>
  </si>
  <si>
    <t>Unit Costs of Health &amp; Social Care 2014 (Curtis, 2014), p.190</t>
  </si>
  <si>
    <t>This is the average cost per hour for a community-based specialist nurse.  The source also quotes data including qualification costs, at £50 per hour (all costs quoted in this cell are given at 2013-14 prices).  Related data are given for the cost per hour of patient-related work, at £64, or £74 including qualification costs.  The costs are derived from salary costs (including on-costs such as national insurance and pension contributions), plus an element to account for a proportion of overheads (e.g. management, admin, travel, telephone, supplies and services, utilities) and capital costs.  The source also provides London and non-London multipliers (see p.190 for details).</t>
  </si>
  <si>
    <t>This is the average cost per hour for a clinical support worker working alongside community/district nurses in a community health facility.  The costs are derived from salary costs (including on-costs such as national insurance and pension contributions), plus an element to account for a proportion of overheads (e.g. management, admin, travel, telephone, supplies and services, utilities) and capital costs.  The source also provides London and non-London multipliers (see p.191 for details).  The Unit Costs of Health &amp; Social Care 2013 publication gives related costs per hour of home visiting (£30) and per hour of patient-related work (£25) (both at 2012-13 prices).</t>
  </si>
  <si>
    <t>Unit Costs of Health &amp; Social Care 2014 (Curtis, 2014), p.189</t>
  </si>
  <si>
    <t>Conduct disorders are the most common childhood psychiatric disorders (affecting 4.9% of UK children aged 5–10 years), and lead to significant longer-term costs relating to adverse outcomes such as delinquency and criminality (the condition leads on to adulthood anti-social personality disorder in about 50% of cases).  This measure represents the fiscal savings to public sector agencies derived from the delivery of parenting programmes for parents of five-year old children with conduct disorder - it is the average savings per child over a 25 year period, to age 30; the research assumes that, for parents completing programmes, 33% of children improve to ‘no problems' and 5% to 'moderate conduct problems', but behaviour changes are not sustained beyond one year for 50% of children who initially improve.  The source gives a breakdown of potential savings over the 25 year period, providing the following costs at different stages: age 6 (savings over the first year following delivery of the parenting programme), £324; age 7-16 (savings for years 2-11 after programme delivery), £2,493 (averaging out at £249 per year over the ten year period); age 17-30 (savings for years 12-25 after programme delivery), £551 (£39 per year over the 14 year period).  Constituent costs for the individual agencies are given in the cost lines below.  As shown in the related headline and subsidiary measures above, the median cost of an 8-12 week group-based parenting programme is £952 per family, and £2,078 for an individually-based programme, with the average for both estimated at £1,177 per family - put alongside these potential savings, it is evident that such programmes can offer good value for money, although the break-even point is estimated at an average eight years post-intervention.  Note that the research did not model further fiscal benefits from reduced adult mental health issues and improved outcomes for the child’s family and peers, which would increase the cost-effectiveness of parenting interventions aimed at addressing conduct disorder.  
In addition to the fiscal benefits, the source quotes economic benefits over 25 years to non-public sector bodies/individuals as follows, comprising: victim costs (crime), £4,171; lost output (crime), £1,227; other crime costs, £506; voluntary sector, £15 (see p.7 of the source report for details of how these costs are distributed over the 25 years period).</t>
  </si>
  <si>
    <t>This cost is derived from data on social services expenditure alongside data on social services activity.  Note that there can be local variance in the way that PSSEx returns made by local authorities (adult social services) to the Health and Social Care Information Centre (HSCIC) are completed, hence the 'amber' flag for this cost line - local authorities can experience difficulty in attributing expenditure to the correct categories (e.g. differentiating between 'own provision' and 'provision by others', or between nursing and residential care placements).  Users are advised to seek feedback from local authority finance personnel to assess the extent to which the unit cost given compares with local experience, and are recommended to derive a specific local cost where possible.
See the comment cell to the entry at SS7.0 for the rationale behind the split between fiscal and economic costs.</t>
  </si>
  <si>
    <t>The source provides a number of scenarios for children with different needs/circumstances (costs for the other scenarios are also provided in this database).  This is a high cost scenario, for 'difficult to place' children with emotional or behavioural difficulties and offending behaviour.  The scenario on which the cost is based, as outlined in the source, is for a child who experienced ten different placements within the 74-week study period (including out-of-authority, residential placements provided by independent sector agencies), and who ceased being looked after when he refused to return to any placement provided by the local authority.  Costs were also incurred by the Youth Offending Team and criminal justice system (these are detailed in the report, but are not documented here as the focus is on cost to local authority social services).  Data for the 74-week period has been adapted to develop an annual cost, using the constituent costs detailed below (see the individual entries for information on the source data and how an annual cost has been derived from them).</t>
  </si>
  <si>
    <t>Note that this a stand alone cost, and does not form one of the constituent costs to the overall annual cost quoted above.  The scenario that has been costed is high cost, one of a number of different cost scenarios presented in the source (and reproduced in this database), which cover children with a range of needs/circumstances.  The scenario on which the cost is based, as outlined in the source, covers 'difficult to place' children with emotional or behavioural difficulties and offending behaviours - it is based upon the costs associated with a child who experienced ten different placements within a 74-week study period (including out-of-authority, residential placements provided by independent sector agencies), and who ceased being looked after when he refused to return to any placement provided by the local authority.  Ceasing being looked after is an ad-hoc event, so has not been included in the annual cost - however, it should be incorporated if required.</t>
  </si>
  <si>
    <t>Note from the source: based on the new-build and land requirements for local authority residential care establishments. These allow for 57.3 square metres per person.  Capital costs have been annuitised over 60 years at a discount rate of 3.5 per cent.</t>
  </si>
  <si>
    <t>Adult social care services are increasingly establishing reablement services as part of their range of home care provision, sometimes alone, sometimes jointly with NHS partners.  Typically, home care reablement is a short-term intervention, generally provided to the user free of charge (hence a fiscal rather than economic cost), and aims to maximise independent living skills.  This is the average cost per service user, and is based on data on salary and on-costs (e.g. national insurance, pensions), overheads (administration, management, office, training, general management and support services such as HR and finance), capital costs (building, land, equipment), and travel.  The source also provides a cost per worker hour of £22, and a cost per hour of contact of £42 (2012-13 prices).  The quoted costs are for out-of-London provision; the source does not specific a London multiplier.</t>
  </si>
  <si>
    <t>This cost is derived from data on social services expenditure alongside data on social services activity.  Note that there can be local variance in the way that PSSEx returns made by local authorities (adult social services) to the Health and Social Care Information Centre (HSCIC) are completed, hence the 'amber' flag for this cost line - local authorities can experience difficulty in attributing expenditure to the correct categories (e.g. differentiating between 'own provision' and 'provision by others', or between nursing and residential care placements).  Users are advised to seek feedback from local authority finance personnel to assess the extent to which the unit cost given compares with local experience, and are recommended to derive a specific local cost where possible.
More affluent individuals will pay for some/all of their home care costs - this element represents an economic cost to the individual, with the fiscal cost representing the domiciliary care costs paid for by the local authority.  As with residential / nursing care, we have allocated two-thirds of home care costs as a fiscal cost falling to local authorities, and the remaining third as an economic cost falling to individual self-funders (see SS7.0 for more detail on how this split is derived).</t>
  </si>
  <si>
    <t>This cost is derived from data on social services expenditure alongside data on social services activity.  Note that there can be local variance in the way that PSSEx returns made by local authorities (adult social services) to the Health and Social Care Information Centre (HSCIC) are completed, hence the 'amber' flag for this cost line - local authorities can experience difficulty in attributing expenditure to the correct categories (e.g. differentiating between 'own provision' and 'provision by others', or between nursing and residential care placements).  Users are advised to seek feedback from local authority finance personnel to assess the extent to which the unit cost given compares with local experience, and are recommended to derive a specific local cost where possible.
See the comment cell to the entry at SS11.0 (and SS7.0) for the rationale behind the split between fiscal and economic costs.</t>
  </si>
  <si>
    <t>This cost is derived from data on social services expenditure alongside data on social services activity.  Note that there can be local variance in the way that PSSEx returns made by local authorities (adult social services) to the Health and Social Care Information Centre (HSCIC) are completed, hence the 'amber' flag for this cost line - local authorities can experience difficulty in attributing expenditure to the correct categories (e.g. differentiating between 'own provision' and 'provision by others', or between nursing and residential care placements).  Users are advised to seek feedback from local authority finance personnel to assess the extent to which the unit cost given compares with local experience, and are recommended to derive a specific local cost where possible.
More affluent individuals will pay for some/all of their day care / day services costs - this element represents an economic cost to the individual, with the fiscal value representing the costs falling to the local authority.  As with residential / nursing care, we have allocated two-thirds of home care costs as a fiscal cost falling to local authorities, and the remaining third as an economic cost falling to individual self-funders (see SS7.0 for more detail on how this split is derived).</t>
  </si>
  <si>
    <t>This cost is derived from data on social services expenditure alongside data on social services activity.  Note that there can be local variance in the way that PSSEx returns made by local authorities (adult social services) to the Health and Social Care Information Centre (HSCIC) are completed, hence the 'amber' flag for this cost line - local authorities can experience difficulty in attributing expenditure to the correct categories (e.g. differentiating between 'own provision' and 'provision by others', or between nursing and residential care placements).  Users are advised to seek feedback from local authority finance personnel to assess the extent to which the unit cost given compares with local experience, and are recommended to derive a specific local cost where possible.
See the comment cell to the entry at SS12.0 (and SS7.0) for the rationale behind the split between fiscal and economic costs.</t>
  </si>
  <si>
    <t>Total savings from the delivery of parenting programmes for parents of children aged five with conduct disorder, per child over a 25 year period (to age 30)</t>
  </si>
  <si>
    <t>This is an average weekly cost for residential care for elderly people, derived from data on social services expenditure alongside data on social services activity.  Residential care costs can vary widely depending on the level of care required (which is dependent upon the needs of the individual), but practitioners consulted as part of the unit cost database development process considered this to be a reasonable figure for an average level of care.  As detailed below, the overall cost quoted in the Unit Cost of Health and Social Care publication is considerably more expensive, and is indicative of a higher level of care - it has been retained in the database both to highlight the variance in values, and because it gives constituent costs that show how the overall cost has been derived (it includes wider costs relating to buildings and land, which aren't included in the local authority revenue cost detailed here).  
More affluent individuals will pay for some/all of their residential care costs - this element is an economic cost to the individual, with the fiscal cost representing the care costs paid for by the local authority.  A range of proportions that split out the fiscal and economic elements are quoted in the literature; we have followed the approach used in the Department of Health's Dementia Care Commissioning Toolkit, which suggests allocating two-thirds of residential care costs as a fiscal cost falling to local authorities, and the remaining third as an economic cost falling to individual self-funders.  
Note that there can be local variance in the way that PSSEx returns made by local authorities (adult social services) to the Health and Social Care Information Centre (HSCIC) are completed, hence the 'amber' flag for this cost line - local authorities can experience difficulty in attributing expenditure to the correct categories (e.g. differentiating between 'own provision' and 'provision by others', or between nursing and residential care placements).  Users are advised to seek feedback from local authority finance personnel to assess the extent to which the unit cost given compares with local experience, and are recommended to derive a specific local cost where possible.</t>
  </si>
  <si>
    <t>Fiscal savings to the education sector from the delivery of parenting programmes for parents of children aged five with conduct disorder, per child over a 25 year period (to age 30)</t>
  </si>
  <si>
    <t>Schools</t>
  </si>
  <si>
    <t>This is a constituent measure to the above headline entry, and represents the fiscal savings to the education sector (Department for Education/schools) derived from the delivery of parenting programmes for parents of five-year old children with conduct disorder - it is the average savings per child over a 25 year period, to age 30.  The source gives a breakdown of potential savings over the 25 year period, providing the following costs at different stages: age 6 (savings to the education sector over the first year following delivery of the parenting programme), £132; age 7-16 (savings for years 2-11 after programme delivery), £304 (averaging out at £30 per year over the ten year period); age 17-30 (savings for years 12-25 after programme delivery), £0.  Further detail is given in the comments cell for the related headline cost above.</t>
  </si>
  <si>
    <t>Fiscal savings to social services from the delivery of parenting programmes for parents of children aged five with conduct disorder, per child over a 25 year period (to age 30)</t>
  </si>
  <si>
    <t>Wheelchair (self- or attendant-propelled) - cost per year</t>
  </si>
  <si>
    <t>SS13.0</t>
  </si>
  <si>
    <t>Average gross weekly cost of day care or day services for older people, England</t>
  </si>
  <si>
    <t>SS13.1</t>
  </si>
  <si>
    <t>Average gross weekly cost of day care or day services for adults and older people, England</t>
  </si>
  <si>
    <t>SS13.2</t>
  </si>
  <si>
    <t>Local authority day care for older people - cost per session</t>
  </si>
  <si>
    <t>ADULTS WITH LEARNING DISABILITIES</t>
  </si>
  <si>
    <t>SS14.0</t>
  </si>
  <si>
    <t>Average gross weekly expenditure on supporting adults with a learning disability in residential care, England</t>
  </si>
  <si>
    <t>SS14.1</t>
  </si>
  <si>
    <t>SS14.2</t>
  </si>
  <si>
    <t>Average gross weekly cost of home care packages for adult aged under 65 with a learning disability, England</t>
  </si>
  <si>
    <t>Average gross weekly cost of day care or day services for adult aged under 65 with a learning disability, England</t>
  </si>
  <si>
    <t>ADULTS WITH PHYSICAL DISABILITIES</t>
  </si>
  <si>
    <t>SS15.0</t>
  </si>
  <si>
    <t>Average gross weekly expenditure on supporting adults with a physical disability in residential care, England</t>
  </si>
  <si>
    <t>SS15.1</t>
  </si>
  <si>
    <t>SS15.2</t>
  </si>
  <si>
    <t>SS15.3</t>
  </si>
  <si>
    <t>Average gross weekly cost of home care packages for adult aged under 65 with a physical disability, England</t>
  </si>
  <si>
    <t>Average gross weekly cost of day care or day services for adult aged under 65 with a physical disability, England</t>
  </si>
  <si>
    <t>SS16.0</t>
  </si>
  <si>
    <t>Parenting Programme - median cost of delivering a group-based parenting programme (per participant)</t>
  </si>
  <si>
    <t>This cost is a median value for a parenting programme delivered on an group rather than individual basis.  It is derived from five evidence-based and commonly used programmes that fed into the research, and includes staff costs, overheads (capital, managerial and administrative), materials and additional items such as catering and childcare as well as the costs of training and supervision (no breakdown of constituent costs was available).  The range of costs was broad (hence use of the median), varying from £282 to £1,486.  A related cost for individually-based programme delivery is given below.  The source comments that some 80% of parenting programmes can be delivered in a group format, and calculates a weighted median cost of £1,177 per parenting programme, based on 80% group and 20% individual provision.  Note that the 'cost owner' will be dependent on who is paying for the course, and not necessarily who is delivering it.</t>
  </si>
  <si>
    <t>Parenting Programme - median cost of delivering an individually-based parenting programme (per participant)</t>
  </si>
  <si>
    <t>This cost is a median value for a parenting programme delivered on an individual rather than group basis.  It is derived from five evidence-based and commonly used programmes that fed into the research, and includes staff costs, overheads (capital, managerial and administrative), materials and additional items such as catering and childcare as well as the costs of training and supervision (no breakdown of constituent costs was available).  The range of costs was broad (hence use of the median), varying from £769 to £5,642.  A related cost for group-based programme delivery is given above.  The source comments that some 80% of parenting programmes can be delivered in a group format, and calculates a weighted median cost of £1,177 per parenting programme, based on 80% group and 20% individual provision.  Note that the 'cost owner' will be dependent on who is paying for the course, and not necessarily who is delivering it.</t>
  </si>
  <si>
    <t>Child taken into care (low cost, for children with no additional support needs) - annual cost of maintaining the placement, for a specific care scenario</t>
  </si>
  <si>
    <t>Constituent cost to the above, which represents the lowest cost of a number of scenarios presented in the source (and reproduced in this database), which cover children with a range of needs/circumstances.  The scenario on which the cost is based, as outlined in the source, is for a child placed with the same foster parents for eight years before leaving care, with reviews and an up-dated care plan every six months, and some educational/health expenditure.  The annual cost has been derived from data for an 87-week period, but the source states the cost per week for maintaining the placement as £540 - this has been used to derive the annual figure (the drop-off in cost after a year has been ignored for the purposes of this calculation).</t>
  </si>
  <si>
    <t>SS1.1.3</t>
  </si>
  <si>
    <t>Child taken into care (low cost, for children with no additional support needs) - annual review costs, for a specific care scenario</t>
  </si>
  <si>
    <t>This is a constituent cost to the above headline measure and represents the average annual fiscal cost to the NHS of service provision per person suffering from any type of mental health disorder, including dementia - it is the average across all age groups, including children, adolescents and adults (but excluding children under five years of age).  Further information is given in the comments cell for the subsidiary cost above.  An amber flag has been applied, in recognition of the age of the data (2007-08).</t>
  </si>
  <si>
    <t>This is a constituent cost to the above headline measure and represents the average annual fiscal cost to the criminal justice system of service provision (prison costs related to schizophrenic disorders) per person suffering from any type of mental health disorder, including dementia - it is the average across all age groups, including children, adolescents and adults (but excluding children under five years of age).  Further information is given in the comments cell for the subsidiary cost above.  An amber flag has been applied, in recognition of the age of the data (2007-08).</t>
  </si>
  <si>
    <t>Average cost of service provision for people suffering from mental health disorders, per person per year, excluding dementia (all ages, including children, adolescents and adults) - fiscal cost to the local authority</t>
  </si>
  <si>
    <t>Average cost of service provision for people suffering from mental health disorders, per person per year, excluding dementia (all ages, including children, adolescents and adults) - fiscal cost to the NHS</t>
  </si>
  <si>
    <t>Average cost of service provision for people suffering from mental health disorders, per person per year, excluding dementia (all ages, including children, adolescents and adults) - fiscal cost to the criminal justice system</t>
  </si>
  <si>
    <t>Scuffham et al (2003) Incidence and Costs of Unintentional Falls in Older People in the United Kingdom</t>
  </si>
  <si>
    <t>Accidental falls - average inpatient costs for hospital admissions due to injuries from a fall on the same level (i.e. a slip, trip or stumble), people over 60</t>
  </si>
  <si>
    <t>Accidental falls - average inpatient costs for hospital admissions due to injuries from a fall (any type), people over 60</t>
  </si>
  <si>
    <t>Accidental falls - average inpatient costs for hospital admissions due to injuries from a fall on or from stairs or steps, people over 60</t>
  </si>
  <si>
    <t>Accidental falls - average inpatient costs for hospital admissions due to injuries from a fall from one level to another, people over 60</t>
  </si>
  <si>
    <r>
      <t xml:space="preserve">This entry has been derived from data in the Scuffham </t>
    </r>
    <r>
      <rPr>
        <i/>
        <sz val="10"/>
        <color indexed="8"/>
        <rFont val="Arial"/>
        <family val="2"/>
      </rPr>
      <t xml:space="preserve">et al </t>
    </r>
    <r>
      <rPr>
        <sz val="10"/>
        <color indexed="8"/>
        <rFont val="Arial"/>
        <family val="2"/>
      </rPr>
      <t>paper, which gives a breakdown of unit costs across different age groups for different types of fall (see p.741), but does not give an average across all types of fall for all age groups above 60.  This cost addresses this by providing a weighted average, which has been calculated using ONS 2010 Mid-Year Population Estimates data for the UK, and data for hospital admissions per 10,000 population as given on p.742 of the source (detailed workings can be made available on request).  With reference to specific age groups, the average cost of hospital admission due to injuries sustained from any type of fall for people aged 60-64 is £1,535; for 65-69 year olds it is £1,619; for 70-74 year olds it is £2,109; and for over-75s it is £2,070.  Costs for different types of fall (and age groups) are given in the constituent costs detailed below.  Note that the data reported in the source are old and should be used with caution, hence the amber flag applied.</t>
    </r>
  </si>
  <si>
    <t xml:space="preserve">This is a constituent cost to the subsidiary measure above which gives the cost of hospital admission for any type of fall.  Similarly, this entry has been derived from data in the Scuffham et al paper, and details the cost of hospital admission due to injury from a fall on or from stairs or steps.  The source gives a breakdown of unit costs across different age groups for this type of fall, but does not give an average for all age groups above 60.  This cost addresses this by providing a weighted average, which has been calculated using ONS 2010 Mid-Year population estimates data for the UK and data for hospital admissions per 10,000 population as given on p.742 of the source (detailed workings can be made available on request).  The source outlines how the cost varies for different age groups (see p.741): the average cost of hospital admission due to injuries sustained from a fall on or from stairs or steps for people aged 60-64 is £1,520; for 65-69 year olds it is £1,571; for 70-74 year olds it is £2,166; and for over-75s it is £2,189.  Note that the data reported in the source are old and should be used with caution, hence the amber flag applied.                                          </t>
  </si>
  <si>
    <t>This is a constituent measure to the above headline entry, and represents the fiscal savings to local authority social services derived from the delivery of parenting programmes for parents of five-year old children with conduct disorder - it is the average savings per child over a 25 year period, to age 30.  The source gives a breakdown of potential savings over the 25 year period, providing the following costs at different stages: age 6 (savings to social services over the first year following delivery of the parenting programme), £24; age 7-16 (savings for years 2-11 after programme delivery), £29 (averaging out at £3 per year over the ten year period); age 17-30 (savings for years 12-25 after programme delivery), £14 (£1 per year over the 14 year period).  Further detail is given in the comments cell for the related headline cost above.</t>
  </si>
  <si>
    <t>Per child over a ten year period</t>
  </si>
  <si>
    <t>Mental Health Promotion and Mental Illness Prevention: the economic case (Knapp et al, 2011), p.9-10</t>
  </si>
  <si>
    <t>Average cost of service provision for children/ adolescents suffering from mental health disorders, per person per year - total fiscal cost (to the NHS)</t>
  </si>
  <si>
    <t>Paying the Price: the cost of mental health care in England to 2026 (King's Fund, 2008), p.118 and 104-109</t>
  </si>
  <si>
    <t>Ambulance services - average cost of call out, per incident</t>
  </si>
  <si>
    <t>Ambulance services - average cost of call out: seeing, treating and conveying patients, per incident</t>
  </si>
  <si>
    <t>Ambulance services - average cost of call out: seeing and treating or referring patients, per incident</t>
  </si>
  <si>
    <t>Ambulance services - average cost of 999 calls to ambulance services (but no further action taken, and ambulance not sent out), per incident</t>
  </si>
  <si>
    <t>Ambulance services - average cost of 999 calls to ambulance services, with treatment advice or onward referral provided (but ambulance not sent out), per incident</t>
  </si>
  <si>
    <t>Chronic Obstructive Pulmonary Disorder (COPD) - average cost per episode</t>
  </si>
  <si>
    <t>This is a constituent cost to the headline measure above, and is the cost saving to the health and social care system associated with delivery of a structured drug treatment programme - these savings are realised from reduced demand for health care services (including hospital inpatient, outpatient and community-based services, but excluding structured drug treatment provision.  Needle exchange and drug-related advice services outside of a structured drug treatment programme are included) and social services (particularly costs related to children in care, but note that accommodation costs for hostels/drop-in centres are also included within this category).  The cost is sourced from the Home Office's 2009 Drug Treatment Outcomes Research Study (DTORS), although the data are quoted at 2006-07 prices - hence the amber flag.  The study derived the costs by comparing the outcomes from a group receiving structured drug treatment with a constructed comparison group.  Note that DTORS quotes average findings across all individuals receiving triage assessment and a care plan for structured drug treatment, regardless of whether they took up or completed this treatment.  Structured drug treatment (Tier 3 and 4) comprises inpatient drug treatment, specialist and GP prescribing, counselling, structured day programmes, residential rehabilitation, structured alcohol interventions and other structured interventions.  Needle exchange and drug-related advice services (which comprise unstructured treatment, Tiers 1 and 2) are excluded.  Data are weighted to be representative of adult drug-treatment seekers in England, across all drug types, severity of use, type of referral into treatment, and prior experience of treatment.  The source quotes costs for a 51-week period; the data given here have been annualised.</t>
  </si>
  <si>
    <t>Drug Treatment Outcomes Research Study (DTORS) (Home Office, 2009), p.13</t>
  </si>
  <si>
    <t>Methadone maintenance - cost of maintaining a drug-misuser on a methadone treatment programme</t>
  </si>
  <si>
    <t>This is the average annual cost to the NHS of delivering structured community drug treatment, per client receiving effective treatment.  Effective treatment is defined as remaining in treatment for at least 12 weeks, or exiting prior to this in a care-planned way; the average length of continuous treatment contact is two years.  The cost is sourced from the 2012 National Treatment Agency publication, 'Estimating the crime reduction benefits of drug treatment and recovery', and relates to an 'average' client, regardless of drug type and nature of misuse.  Also see related measures within this database for the average annual savings to the criminal justice system and NHS from reduced drug-related offending by people in receipt of effective treatment.</t>
  </si>
  <si>
    <t>Victim services</t>
  </si>
  <si>
    <t>Estimating the crime reduction benefits of drug treatment and recovery (National Treatment Agency for Substance Misuse, 2012), p.17</t>
  </si>
  <si>
    <t>Drugs misuse - average long-term fiscal savings to the criminal justice system and victim services from reduced drug-related offending following receipt of effective treatment, per person</t>
  </si>
  <si>
    <t>Drugs misuse - average long-term fiscal savings to the NHS from reduced drug-related offending following receipt of effective treatment, per person (cost refers to the reduced physical harm perpetrated on victims due to fewer robberies)</t>
  </si>
  <si>
    <t>Economic and social costs differentiated in separate column, and comments cell revised</t>
  </si>
  <si>
    <t>Drugs misuse - average long-term savings from reduced drug-related offending following receipt of effective treatment, per person sustaining recovery</t>
  </si>
  <si>
    <t>Economic costs differentiated in separate column, and comments cell revised</t>
  </si>
  <si>
    <t>This is the average annual cost of service provision for children/adolescents aged 5-15 suffering from mental health disorders (including hyperkinetic disorders, conduct disorders and emotional disorders; excluding learning difficulties/disabilities).  Note that it represents only the fiscal cost to public agencies (no wider economic costs relating to lost earnings are detailed in the source, given the age of the cohort).  There will also be associated social costs (e.g. from reduced well-being); these are not monetised in the King's Fund report.  All (100%) of the fiscal cost quoted falls to the NHS, comprising the following areas: prescribed drugs; inpatient care; GP contacts; A&amp;E visits; and outpatient attendances.  An amber flag has been applied, in recognition of the age of the data (2007-08).</t>
  </si>
  <si>
    <t xml:space="preserve">Paying the Price: the cost of mental health care in England to 2026 (King's Fund, 2008), p.118, 25, 40, 59, 74, 96, 104-109 and 114 </t>
  </si>
  <si>
    <t>Average cost of service provision for people suffering from mental health disorders, per person per year, including dementia (all ages, including children, adolescents and adults) - fiscal cost to the NHS</t>
  </si>
  <si>
    <t>Average cost of service provision for people suffering from mental health disorders, per person per year, including dementia (all ages, including children, adolescents and adults) - fiscal cost to the criminal justice system</t>
  </si>
  <si>
    <t>Average cost of service provision for people suffering from mental health disorders, per person per year, including dementia (all ages, including children, adolescents and adults) - fiscal cost to the local authority</t>
  </si>
  <si>
    <r>
      <t xml:space="preserve">Criminal proceedings: 
</t>
    </r>
    <r>
      <rPr>
        <u/>
        <sz val="10"/>
        <color indexed="8"/>
        <rFont val="Arial"/>
        <family val="2"/>
      </rPr>
      <t>Arrest</t>
    </r>
    <r>
      <rPr>
        <sz val="10"/>
        <color indexed="8"/>
        <rFont val="Arial"/>
        <family val="2"/>
      </rPr>
      <t xml:space="preserve"> - with no further action 
(simple caution)</t>
    </r>
  </si>
  <si>
    <t>Cardiovascular disease (CVD) - average cost of hospital admission for TIA (mini stroke) needing a surgical procedure</t>
  </si>
  <si>
    <t>Cardiovascular disease (CVD) - average cost of hospital admission for stroke needing a surgical procedure</t>
  </si>
  <si>
    <t>The source provides a number of scenarios for children with different needs/circumstances (costs for the other scenarios are also provided in this database).  This is a very high cost scenario, for 'difficult to place' children with disabilities, emotional or behavioural difficulties and offending behaviour.  The scenario on which the cost is based, as outlined in the source, is for a child who experienced nine different placements within the 87-week study period (the majority of which were out-of-area, and involved independent sector agencies placing the child in independent sector foster care and residential units with educational facilities).  Review meetings were held six monthly and his care plan was also updated every six months.  Costs were also incurred for home tuition and clinical psychologist provision, plus other miscellaneous areas (these are detailed in the report, but are not documented here as the focus is on cost to local authority social services).  Data for the 87-week period has been adapted to develop an annual cost, using the constituent costs detailed below (see the individual entries for information on the source data and how an annual cost has been derived from them).</t>
  </si>
  <si>
    <t>SS1.4.1</t>
  </si>
  <si>
    <t>Child taken into care (very high cost, for children with disabilities, emotional or behavioural difficulties, and offending behaviour) - annual cost of care planning, for a specific care scenario</t>
  </si>
  <si>
    <t>The source provides a number of scenarios for children with different needs/circumstances (costs for the other scenarios are also provided in this database).  This is a very high cost scenario, for 'difficult to place' children with disabilities, emotional or behavioural difficulties and offending behaviour.  The scenario on which the cost is based, as outlined in the source, is for a child who experienced nine different placements within the 87-week study period (the majority of which were out-of-area, and involved independent sector agencies placing the child in independent sector foster care and residential units with educational facilities).  Review meetings were held six monthly and his care plan was also updated every six months.  Three care plans were developed during the 87-week study period, so it has been assumed two were developed within a year, at an annual (un-updated) cost of £138 (£69 x 2).</t>
  </si>
  <si>
    <t>SS1.4.2</t>
  </si>
  <si>
    <t>Child taken into care (very high cost, for children with disabilities, emotional or behavioural difficulties, and offending behaviour) - annual cost of maintaining the placement, for a specific care scenario</t>
  </si>
  <si>
    <t>This is a constituent measure to the above headline entry, and represents the fiscal savings to local authority social services derived from the delivery of school-based emotional learning programmes (SEL) for children with conduct problems - it is the average savings per child over a ten year period.  The source gives a breakdown of potential savings over the ten years, providing the following costs at different stages: year 1 (savings over the first year following delivery of the SEL programme), £4; year 5 (savings for years 1-5 after programme delivery), £13; year 10 (savings for years 1-10 after programme delivery), £23 (all at 2009-10 prices).  The average annual saving to the criminal justice system over the ten year period is £2.  Further detail is given in the comments cell for the related headline cost above.</t>
  </si>
  <si>
    <t>Child and Adolescent Mental Health Service team -  generic single-disciplinary team, average cost per case</t>
  </si>
  <si>
    <t>Child and Adolescent Mental Health Service team -  generic multi-disciplinary team, average cost per case</t>
  </si>
  <si>
    <t>Child and Adolescent Mental Health Service team - dedicated team, average cost per case</t>
  </si>
  <si>
    <t>Child and Adolescent Mental Health Service team - targeted team, average cost per case</t>
  </si>
  <si>
    <t>Cognitive behaviour therapy - average cost of a course of six face-to-face CBT sessions, per participant</t>
  </si>
  <si>
    <t>Cognitive behaviour therapy within Child and Adolescent Mental Health Service (CAMHS) teams - cost per session</t>
  </si>
  <si>
    <t>Mental health inpatient hospital attendance - average cost per bed day for children and adolescents</t>
  </si>
  <si>
    <t>National Schedule of Reference Costs 2011-12 for NHS trusts and NHS foundation trusts ('MHIP' worksheet, currency code MHIPC1)</t>
  </si>
  <si>
    <t>This is the average cost per occupied bed-day for a mental health inpatient attendance by children/adolescents.  It is taken from the NHS Reference Costs 2011-12 (see worksheet MHIP, currency code MHIPC1).</t>
  </si>
  <si>
    <t>National Schedule of Reference Costs 2011-12 for NHS trusts and NHS foundation trusts ('MHIPSS' worksheet, currency codes MHIPA1-2, MHIPC2-3, MHIPEDA, MHIPEDC, MHIPMB and MHIPOTH)</t>
  </si>
  <si>
    <t>Mental health secure unit - average cost per bed day</t>
  </si>
  <si>
    <t>This is the average cost per occupied bed day in a mental health secure unit.  It is taken from the NHS Reference Costs 2011-12, using data from the 'MHSU' worksheet.</t>
  </si>
  <si>
    <t>National Schedule of Reference Costs 2011-12 for NHS trusts and NHS foundation trusts ('MHSU' worksheet, currency codes SCU2-3, SCU41-44, SCU51-54, SCU62)</t>
  </si>
  <si>
    <t>Mental health outpatients, hospital attendance - average cost per attendance</t>
  </si>
  <si>
    <t>National Schedule of Reference Costs 2011-12 for NHS trusts and NHS foundation trusts ('MHOPATT_MHOP' worksheet, currency codes MHOP01-MHOP09)</t>
  </si>
  <si>
    <t>This is the average cost per occupied bed day for a mental health outpatients attendance - it incorporates costs for adults, children and adolescents (separate values on specific sub-categories are available from the source).  It is taken from the NHS Reference Costs 2011-12, using the weighted average of data included on the 'MHOPATT_MHOP' worksheet.</t>
  </si>
  <si>
    <t>Mental health community provision - average cost per contact</t>
  </si>
  <si>
    <t>National Schedule of Reference Costs 2011-12 for NHS trusts and NHS foundation trusts ('MHCOMM' worksheet, currency codes MHCOM01-MHCOM09)</t>
  </si>
  <si>
    <t>This is the average cost per contact of community-based provision for mental health patients - it incorporates costs for adults, children and adolescents (separate values on specific sub-categories are available from the source).  It is taken from the NHS Reference Costs 2011-12, using the weighted average of data included on the 'MHCOMM' worksheet.</t>
  </si>
  <si>
    <t>Mental health specialist teams - average cost per contact</t>
  </si>
  <si>
    <t>National Schedule of Reference Costs 2011-12 for NHS trusts and NHS foundation trusts ('MHST' worksheet, currency codes MHST01-MHST09)</t>
  </si>
  <si>
    <t>This is the average cost per contact of community-based provision for mental health patients - it incorporates costs for a range of specialist teams delivering mental health provision for elderly people, adults, children and adolescents (separate values on specific sub-categories are available from the source, including unit costs for teams working in prisons and wider criminal justice settings).  It is taken from the NHS Reference Costs 2011-12, using the weighted average of data included on the 'MHST' worksheet.</t>
  </si>
  <si>
    <t>Local authority care home for people with mental health problems - average cost per week</t>
  </si>
  <si>
    <t>Sourced from the 2009 PSSRU 'Unit Costs of Health and Social Care' publication - note that this measure is not included in more recent editions.  Methadone programmes are generally provided by NHS community drug teams, either based on a hospital site or in the community; a small number of programmes were provided by GP surgeries.  The source quotes (at 2008-09 prices) methadone costs of £26 per patient per week (including the cost of prescriptions, any pharmacist dispensing fees, and any toxicology tests), along with related capital and revenue cost of £33 per patient per week (covering buildings and land, equipment and durables, staff costs, supplies and services, and site and agency overheads).  However, there was considerable variance in unit cost across the 15 programmes considered for the research, ranging from £10 to £137 per week (2008-09 prices) - this, and the age of the data, have resulted in an amber flag being applied.</t>
  </si>
  <si>
    <t>ALCOHOL</t>
  </si>
  <si>
    <t>DRUGS</t>
  </si>
  <si>
    <t>National Schedule of Reference Costs 2011-12 for NHS trusts and NHS foundation trusts (HRG code VB11Z)</t>
  </si>
  <si>
    <t>A&amp;E attendance - no investigation and no significant treatment</t>
  </si>
  <si>
    <t>A&amp;E attendance - no investigation and no significant treatment, leading to admission</t>
  </si>
  <si>
    <t>A&amp;E attendance - no investigation and no significant treatment, not leading to admission</t>
  </si>
  <si>
    <t>Paying the Price: the cost of mental health care in England to 2026 (King's Fund, 2008), p.118, 25, 40, 59, 74, 96 and 104-109</t>
  </si>
  <si>
    <t>This is a constituent cost to the above headline measure and represents the average annual fiscal cost to the local authority of service provision (supported accommodation; social services) per adult suffering from depression and anxiety disorders.  Further information is given in the comments cell for the headline cost.  An amber flag has been applied, in recognition of the age of the data (2007-08).</t>
  </si>
  <si>
    <t>This is a constituent cost to the above headline measure and represents the average annual fiscal cost to the local authority of service provision (supported accommodation/sheltered accommodation/residential care; social services) per person suffering from any type of mental health disorder, including dementia - it is the average across all age groups, including children, adolescents and adults (but excluding children under five years of age).  Further information is given in the comments cell for the subsidiary cost above.  An amber flag has been applied, in recognition of the age of the data (2007-08).</t>
  </si>
  <si>
    <t>This is a constituent cost to the above subsidiary measure and represents the average annual fiscal cost to the NHS of service provision per adult suffering from any type of mental health disorder, including dementia.  Further information is given in the comments cell for the subsidiary cost above.  An amber flag has been applied, in recognition of the age of the data (2007-08).</t>
  </si>
  <si>
    <t>This is a constituent cost to the above subsidiary measure and represents the average annual fiscal cost to the criminal justice system of service provision (prison costs related to schizophrenic disorders) per adult suffering from any type of mental health disorder, including dementia.  Further information is given in the comments cell for the subsidiary cost above.  An amber flag has been applied, in recognition of the age of the data (2007-08).</t>
  </si>
  <si>
    <t xml:space="preserve">This is a constituent cost to the subsidiary measure above which gives the cost of hospital admission for any type of fall.  Similarly, this entry has been derived from data in the Scuffham et al paper, and details the cost of hospital admission due to injury from an unspecified fall (i.e. the nature of the fall is not known/recorded).  The source gives a breakdown of unit costs across different age groups for this type of fall, but does not give an average for all age groups above 60.  This cost addresses this by providing a weighted average, which has been calculated using ONS 2010 Mid-Year population estimates data for the UK and data for hospital admissions per 10,000 population as given on p.742 of the source (detailed workings can be made available on request).  The source outlines how the cost varies for different age groups (see p.741): the average cost of hospital admission due to injuries sustained from an unspecified fall for people aged 60-64 is £1,453; for 65-69 year olds it is £1,521; for 70-74 year olds it is £1,932; and for over-75s it is £1,876.  The paper indicates that 53% of the total cost of falls amongst older people (60+) is due to falls of an unspecified type, although across all age groups the most common type of fall is 'falls on the same level' (slip/trip/stumble).  Note that the data reported in the source are old and should be used with caution, hence the amber flag applied.                                           </t>
  </si>
  <si>
    <t>Hip fracture - health service costs per incident</t>
  </si>
  <si>
    <t>Hip fracture - social care costs per incident</t>
  </si>
  <si>
    <t>Impact Assessment of Fracture Prevention Interventions (Department of Health, 2009), p.14</t>
  </si>
  <si>
    <t xml:space="preserve">Hip fracture - health and social care costs per incident </t>
  </si>
  <si>
    <t>Per case per team member</t>
  </si>
  <si>
    <t>Unit lookup</t>
  </si>
  <si>
    <t>Year Lookup</t>
  </si>
  <si>
    <t>RAG look-up</t>
  </si>
  <si>
    <t>Criminal Justice System</t>
  </si>
  <si>
    <t>Each</t>
  </si>
  <si>
    <t>R</t>
  </si>
  <si>
    <t>Children's Services</t>
  </si>
  <si>
    <t>Per client</t>
  </si>
  <si>
    <t>A</t>
  </si>
  <si>
    <t>Per session</t>
  </si>
  <si>
    <t>G</t>
  </si>
  <si>
    <t>ANTI-SOCIAL BEHAVIOUR</t>
  </si>
  <si>
    <t>Per visit</t>
  </si>
  <si>
    <t>BENEFITS</t>
  </si>
  <si>
    <t>Per event</t>
  </si>
  <si>
    <t>Per episode</t>
  </si>
  <si>
    <t>Housing Services</t>
  </si>
  <si>
    <t>Per hour</t>
  </si>
  <si>
    <t>NHS</t>
  </si>
  <si>
    <t>Per day</t>
  </si>
  <si>
    <t>Per week</t>
  </si>
  <si>
    <t>Per month</t>
  </si>
  <si>
    <t>Per school academic year</t>
  </si>
  <si>
    <t>Per year</t>
  </si>
  <si>
    <t>Youth Offending Team</t>
  </si>
  <si>
    <t>PROPERTY &amp; VEHICLE CRIME</t>
  </si>
  <si>
    <t>Per incident</t>
  </si>
  <si>
    <t>YOUTH OFFENDING</t>
  </si>
  <si>
    <t>Per plan</t>
  </si>
  <si>
    <t>Per customer</t>
  </si>
  <si>
    <t>Per claim</t>
  </si>
  <si>
    <t>GDP Lookup</t>
  </si>
  <si>
    <t>Original source</t>
  </si>
  <si>
    <t>Unit</t>
  </si>
  <si>
    <t>CRIME</t>
  </si>
  <si>
    <t>DOMESTIC VIOLENCE</t>
  </si>
  <si>
    <t>HOUSING</t>
  </si>
  <si>
    <t>Year</t>
  </si>
  <si>
    <t>1995/96</t>
  </si>
  <si>
    <t>1996/97</t>
  </si>
  <si>
    <t>1997/98</t>
  </si>
  <si>
    <t>1998/99</t>
  </si>
  <si>
    <t>2001/02</t>
  </si>
  <si>
    <t>2000/01</t>
  </si>
  <si>
    <t>1999/00</t>
  </si>
  <si>
    <t>2002/03</t>
  </si>
  <si>
    <t>2003/04</t>
  </si>
  <si>
    <t>2004/05</t>
  </si>
  <si>
    <t>2005/06</t>
  </si>
  <si>
    <t>2006/07</t>
  </si>
  <si>
    <t>2007/08</t>
  </si>
  <si>
    <t>2008/09</t>
  </si>
  <si>
    <t>2009/10</t>
  </si>
  <si>
    <t>2010/11</t>
  </si>
  <si>
    <t>2011/12</t>
  </si>
  <si>
    <t>HM Treasury</t>
  </si>
  <si>
    <t>Probation</t>
  </si>
  <si>
    <t>Youth Unemployment: the crisis we cannot afford (ACEVO Commission on Youth Unemployment, 2012)</t>
  </si>
  <si>
    <t>Prison</t>
  </si>
  <si>
    <t>Young Offenders Institute</t>
  </si>
  <si>
    <t>Essex Family - Data Book for Community Budget Development - Connected Care Essex Pilot Unit Costs</t>
  </si>
  <si>
    <t>Level 1</t>
  </si>
  <si>
    <t>Level 2</t>
  </si>
  <si>
    <t>Prison / Young Offenders Institute</t>
  </si>
  <si>
    <t>Fire Service</t>
  </si>
  <si>
    <t>Acute Trust / Hospital</t>
  </si>
  <si>
    <t>Mental Health Trust</t>
  </si>
  <si>
    <t>Community Health Provider</t>
  </si>
  <si>
    <t>Local Authority</t>
  </si>
  <si>
    <t>RSL</t>
  </si>
  <si>
    <t>Society / Economic</t>
  </si>
  <si>
    <t>VCS</t>
  </si>
  <si>
    <t>DWP</t>
  </si>
  <si>
    <t>Educational Establishment</t>
  </si>
  <si>
    <t>-</t>
  </si>
  <si>
    <t>School</t>
  </si>
  <si>
    <t>College</t>
  </si>
  <si>
    <t>HEALTH</t>
  </si>
  <si>
    <t>ADULTS</t>
  </si>
  <si>
    <t>THEFT</t>
  </si>
  <si>
    <t>VIOLENCE</t>
  </si>
  <si>
    <t>VANDALISM</t>
  </si>
  <si>
    <t>PROCEEDINGS</t>
  </si>
  <si>
    <t>EMPLOYMENT</t>
  </si>
  <si>
    <t>FIRE</t>
  </si>
  <si>
    <t>TRUANCY</t>
  </si>
  <si>
    <t>BUILDINGS</t>
  </si>
  <si>
    <t>NON-BUILDINGS</t>
  </si>
  <si>
    <t>MENTAL HEALTH</t>
  </si>
  <si>
    <t>HOSPITAL</t>
  </si>
  <si>
    <t>GP / NURSE</t>
  </si>
  <si>
    <t>OTHER SERVICES</t>
  </si>
  <si>
    <t>SOCIAL SERVICES</t>
  </si>
  <si>
    <t>CHILDREN</t>
  </si>
  <si>
    <t>COMMUNITY HEALTH PROVISION</t>
  </si>
  <si>
    <t>ADAPTATIONS</t>
  </si>
  <si>
    <t>PROGRAMMES</t>
  </si>
  <si>
    <t>CASE MANAGEMENT</t>
  </si>
  <si>
    <t>TAX</t>
  </si>
  <si>
    <t>OFFENDING</t>
  </si>
  <si>
    <t>SMOKING</t>
  </si>
  <si>
    <t>Multiple</t>
  </si>
  <si>
    <t>DENTAL</t>
  </si>
  <si>
    <t>None-face to face contact</t>
  </si>
  <si>
    <t>Outcome category</t>
  </si>
  <si>
    <t>Outcome detail</t>
  </si>
  <si>
    <t>Cost / saving detail</t>
  </si>
  <si>
    <t>Estimated cost/saving</t>
  </si>
  <si>
    <t>Current Year</t>
  </si>
  <si>
    <t>1989/90</t>
  </si>
  <si>
    <t>1990/91</t>
  </si>
  <si>
    <t>1991/92</t>
  </si>
  <si>
    <t>1992/93</t>
  </si>
  <si>
    <t>1993/94</t>
  </si>
  <si>
    <t>1994/95</t>
  </si>
  <si>
    <t>2012/13</t>
  </si>
  <si>
    <t>2013/14</t>
  </si>
  <si>
    <t>2014/15</t>
  </si>
  <si>
    <t>2015/16</t>
  </si>
  <si>
    <t>2016/17</t>
  </si>
  <si>
    <t>2017/18</t>
  </si>
  <si>
    <t>2018/19</t>
  </si>
  <si>
    <t>2019/20</t>
  </si>
  <si>
    <t>f</t>
  </si>
  <si>
    <t>Lifetime</t>
  </si>
  <si>
    <t>YOUNG PEOPLE</t>
  </si>
  <si>
    <t>Court</t>
  </si>
  <si>
    <t>Clinical Psychologist - cost per hour</t>
  </si>
  <si>
    <t>Clinical support worker nursing (community) - cost per hour</t>
  </si>
  <si>
    <t>Asthma - average cost per episode</t>
  </si>
  <si>
    <t>Constituent cost to the above, which represents a high cost scenario, one of a number of different cost scenarios presented in the source (and reproduced in this database), which cover children with a range of needs/circumstances.  The scenario on which the cost is based, as outlined in the source, covers 'difficult to place' children with emotional or behavioural difficulties and offending behaviours - the scenario is based upon the costs associated with a child who experienced ten different placements within the 74-week study period (including out-of-authority, residential placements provided by independent sector agencies), and who ceased being looked after when he refused to return to any placement provided by the local authority.  Reviews and an up-dated care plan were undertaken every six months.  The annual cost has been derived from data for the 74-week period, within which the care plan was updated twice - assumed, as with the other scenarios, that such updates will be undertaken twice in a single year, hence cost is the same as the (un-updated) figure of £274 quoted in the source.</t>
  </si>
  <si>
    <t>Constituent cost to the above, which represents a high cost scenario, one of a number of different cost scenarios presented in the source (and reproduced in this database), which cover children with a range of needs/circumstances.  The scenario on which the cost is based, as outlined in the source, covers 'difficult to place' children with emotional or behavioural difficulties and offending behaviours - the scenario is based upon the costs associated with a child who experienced ten different placements within the 74-week study period (including out-of-authority, residential placements provided by independent sector agencies), and who ceased being looked after when he refused to return to any placement provided by the local authority.  The annual review costs have been derived from data for a 74-week period, from which the annual figure has been calculated pro-rata (£1,396/74 x 52).</t>
  </si>
  <si>
    <t>Constituent cost to the above, which represents a high cost scenario, one of a number of different cost scenarios presented in the source (and reproduced in this database), which cover children with a range of needs/circumstances.  The scenario on which the cost is based, as outlined in the source, covers 'difficult to place' children with emotional or behavioural difficulties and offending behaviours - the scenario is based upon the costs associated with a child who experienced ten different placements within the 74-week study period (including out-of-authority, residential placements provided by independent sector agencies), and who ceased being looked after when he refused to return to any placement provided by the local authority.  As subsequent placements were needed nine times during the 74-week period, an annual cost has been derived by assuming that six placement changes would take place within a year (£8,879/9*6) - if required, local areas can use the average unit cost of finding a subsequent placement for a child with these needs/circumstances of £987 to price up local scenarios.</t>
  </si>
  <si>
    <t>Average cost of service provision for adults suffering from schizophrenic disorders, per person per year - fiscal cost to the criminal justice system</t>
  </si>
  <si>
    <t>Paying the Price: the cost of mental health care in England to 2026 (King's Fund, 2008), p.118 and 74</t>
  </si>
  <si>
    <t>Average cost of service provision for adults suffering from bipolar disorder and related conditions, per person per year - fiscal cost to the NHS</t>
  </si>
  <si>
    <t>Average cost of service provision for adults suffering from bipolar disorder and related conditions, per person per year - fiscal cost to the local authority</t>
  </si>
  <si>
    <t>Paying the Price: the cost of mental health care in England to 2026 (King's Fund, 2008), p.118 and 84-87</t>
  </si>
  <si>
    <t>Paying the Price: the cost of mental health care in England to 2026 (King's Fund, 2008), p.118 and 96</t>
  </si>
  <si>
    <t>Paying the Price: the cost of mental health care in England to 2026 (King's Fund, 2008), p.118 and 114</t>
  </si>
  <si>
    <t>Asthma/respiratory issues - average cost per contact by specialist community/outreach nurses</t>
  </si>
  <si>
    <t>Accidental falls - average inpatient costs for hospital admissions due to injuries from an unspecified fall, people over 60</t>
  </si>
  <si>
    <t>National Schedule of Reference Costs 2011-12 for NHS trusts and NHS foundation trusts (weighted average of values against HRG code VB11Z)</t>
  </si>
  <si>
    <t>A&amp;E attendance (all scenarios)</t>
  </si>
  <si>
    <t>A&amp;E attendance - all scenarios, leading to admission</t>
  </si>
  <si>
    <t>A&amp;E attendance - all scenarios, not leading to admission</t>
  </si>
  <si>
    <t>National Schedule of Reference Costs 2011-12 for NHS trusts and NHS foundation trusts (weighted average of values against HRG codes VB01Z to VB11Z)</t>
  </si>
  <si>
    <t>National Schedule of Reference Costs 2011-12 for NHS trusts and NHS foundation trusts (weighted average of values across HRG codes VB01Z to VB10Z)</t>
  </si>
  <si>
    <t>Nurse team manager, hospital-based - cost per hour (excluding qualification costs)</t>
  </si>
  <si>
    <t>Nurse team leader, hospital-based - cost per hour (excluding qualification costs)</t>
  </si>
  <si>
    <t>Nurse, 24-hour ward, hospital-based - cost per hour (excluding qualification costs)</t>
  </si>
  <si>
    <t>Nurse, day ward, hospital-based - cost per hour (excluding qualification costs)</t>
  </si>
  <si>
    <t>Occupational therapist, hospital-based - cost per hour (excluding qualification costs)</t>
  </si>
  <si>
    <t>Speech and language therapist, hospital-based - cost per attendance</t>
  </si>
  <si>
    <t>Speech and language therapist, hospital-based - cost per hour (excluding qualification costs)</t>
  </si>
  <si>
    <t>Pharmacist, hospital-based - cost per hour (excluding qualification costs)</t>
  </si>
  <si>
    <t>Physiotherapist, hospital-based - cost per hour (excluding qualification costs)</t>
  </si>
  <si>
    <t>Physiotherapist, hospital-based - cost per attendance</t>
  </si>
  <si>
    <t>Radiographer, hospital-based - cost per hour (excluding qualification costs)</t>
  </si>
  <si>
    <t>Lung cancer - average cost of emergency inpatient activity for lung cancer patients</t>
  </si>
  <si>
    <t>Per admission</t>
  </si>
  <si>
    <t>Explaining Variations in Lung Cancer in England (Roy Castle Lung Cancer Foundation, 2011), p.36</t>
  </si>
  <si>
    <t>This is the average cost of emergency inpatient activity for lung cancer patients, and is derived from the NHS Reference Costs 2009-10 database.  The source also provides an average cost for elective inpatient activity for lung cancer patients of £1,737, in order to highlight the cost savings that might be made through planned care rather than emergency admissions. Note that details on the constituent NHS Reference Costs data that have been used to calculate this cost are not provided, and it is not clear exactly what is meant by 'inpatient activity' (we have assumed that it refers to the unit cost per admission, rather than the unit cost per lung cancer patient); the data are also not particularly recent, dating from 2009-10.  For these reasons, an amber flag has been allocated.</t>
  </si>
  <si>
    <t>Hospital outpatients - average cost per outpatient procedure</t>
  </si>
  <si>
    <t>National Schedule of Reference Costs 2011-12 for NHS trusts and NHS foundation trusts - weighted average of hospital day care facilities regular attendances data (all currency codes on 'DCFRAD' worksheet)</t>
  </si>
  <si>
    <t>Hospital day care - average cost per regular attendance at hospital day care facilities</t>
  </si>
  <si>
    <t xml:space="preserve">Paying the Price: the cost of mental health care in England to 2026 (King's Fund, 2008), p.118 </t>
  </si>
  <si>
    <t>Average cost of service provision for adults suffering from depression and/or anxiety disorders, per person per year - fiscal cost to the NHS</t>
  </si>
  <si>
    <t>Average cost of service provision for adults suffering from depression and/or anxiety disorders, per person per year - fiscal cost to the local authority</t>
  </si>
  <si>
    <t>Paying the Price: the cost of mental health care in England to 2026 (King's Fund, 2008), p.118, 25 and 40</t>
  </si>
  <si>
    <t>This is a constituent cost to the above headline measure and represents the average annual fiscal cost to the NHS of service provision per adult suffering from depression and anxiety disorders.  Further information is given in the comments cell for the headline cost.  An amber flag has been applied, in recognition of the age of the data (2007-08).</t>
  </si>
  <si>
    <t>A constituent cost to the above cost line, the average consequence cost of fire, giving the average cost to the Criminal Justice System per fire (a fiscal cost).  Note that this is an average cost calculated across all fires, not just deliberate fires; as such, it should not be used as a unit cost for Criminal Justice System activity relating specifically to deliberate fires.  This is an average cost for England; the source also gives averages for the nine English regions.</t>
  </si>
  <si>
    <t>Average costs to the police service per fire</t>
  </si>
  <si>
    <t>A constituent cost to the above cost line, the average consequence cost of fire, giving the average cost to the police service per fire (a fiscal cost).  Note that this is an average cost calculated across all fires, not just deliberate fires; as such, it should not be used as a unit cost for police service activity relating specifically to deliberate fires.  This is an average cost for England; the source also gives averages for the nine English regions.</t>
  </si>
  <si>
    <t>Average costs to the prison service per fire</t>
  </si>
  <si>
    <t>A constituent cost to the above cost line, the average consequence cost of fire, giving the average cost to the prison service per fire (a fiscal cost).  Note that this is an average cost calculated across all fires, not just deliberate fires; as such, it should not be used as a unit cost for prison service activity relating specifically to deliberate fires.  This is an average cost for England; the source also gives averages for the nine English regions.</t>
  </si>
  <si>
    <t>Average cost of non-detected arson per fire</t>
  </si>
  <si>
    <t>A constituent cost to the above cost line, the average consequence cost of fire, giving the average cost of non-detected arson per fire.  Note that this is an average cost calculated across all fires, not just deliberate fires; as such, it should not be used as a unit cost for non-detected arson, as this should be derived from data relating specifically to deliberate fires.  This is an average cost for England; the source also gives averages for the nine English regions.</t>
  </si>
  <si>
    <t>Average response cost per fire</t>
  </si>
  <si>
    <t>Average response cost for arson</t>
  </si>
  <si>
    <t>The economic cost of fire: estimates for 2008 - Fire Research Report 3/2011 (Department for Communities and Local Government, 2011), p.24</t>
  </si>
  <si>
    <t>Average cost to Crown Prosecution Service and forensic unit per deliberate fire</t>
  </si>
  <si>
    <t>Courts</t>
  </si>
  <si>
    <t>The economic cost of fire: estimates for 2008 - Fire Research Report 3/2011 (Department for Communities and Local Government, 2011), p.30</t>
  </si>
  <si>
    <t>No detail is given in the source over how this cost has been derived.</t>
  </si>
  <si>
    <t>Average cost of a fire in a domestic building</t>
  </si>
  <si>
    <t>The economic cost of fire: estimates for 2008 - Fire Research Report 3/2011 (Department for Communities and Local Government, 2011), p.19</t>
  </si>
  <si>
    <t>No breakdown is given over how the cost is derived, although it comprises both costs as a consequence of fire and costs in response to fire; it includes the average cost of arson.  Costs in anticipation of fire are not included (e.g. the cost of installing fire protection in buildings).  Note that costs as a consequence of fire will include economic and social costs as well as fiscal.  This is an average cost for England; the source also gives averages for the nine English regions.</t>
  </si>
  <si>
    <t>Average cost of a fire in a commercial building</t>
  </si>
  <si>
    <t>Average cost of a fire in a public sector building</t>
  </si>
  <si>
    <t>Average cost of a non-buildings fire</t>
  </si>
  <si>
    <t>Non-building fires refer to other outdoor structures including post boxes, tunnels, bridges.  No breakdown is given over how the cost is derived, although it comprises both costs as a consequence of fire and costs in response to fire; it includes the average cost of arson.  Costs in anticipation of fire are not included; nor are costs related to property damage.  Note that costs as a consequence of fire will include economic and social costs as well as fiscal.  This is an average cost for England; the source also gives averages for the nine English regions.</t>
  </si>
  <si>
    <t>Average fire safety labour cost per hour</t>
  </si>
  <si>
    <t xml:space="preserve">Paying the Price: the cost of mental health care in England to 2026 (King's Fund, 2008), p.118, 25 and 40 </t>
  </si>
  <si>
    <t xml:space="preserve">Paying the Price: the cost of mental health care in England to 2026 (King's Fund, 2008), p.118, 25, 40, 59, 74, 96 and 114 </t>
  </si>
  <si>
    <t>Average cost of service provision for adults suffering from any type of mental health disorder, including dementia, per person per year - fiscal cost to the NHS</t>
  </si>
  <si>
    <t>Average cost of service provision for adults suffering from any type of mental health disorder, including dementia, per person per year - fiscal cost to the local authority</t>
  </si>
  <si>
    <t>Average cost of service provision for adults suffering from any type of mental health disorder, excluding dementia, per person per year - fiscal cost to the NHS</t>
  </si>
  <si>
    <t>Average cost of service provision for adults suffering from any type of mental health disorder, excluding dementia, per person per year - fiscal cost to the local authority</t>
  </si>
  <si>
    <t>Average cost of service provision for adults suffering from any type of mental health disorder, including dementia, per person per year - fiscal cost to the criminal justice system</t>
  </si>
  <si>
    <t>Average cost of service provision for adults suffering from any type of mental health disorder, excluding dementia, per person per year - fiscal cost to the criminal justice system</t>
  </si>
  <si>
    <t>Paying the Price: the cost of mental health care in England to 2026 (King's Fund, 2008), p.118, 25, 40, 59, 74 and 96</t>
  </si>
  <si>
    <t>Paying the Price: the cost of mental health care in England to 2026 (King's Fund, 2008), p.118 and 25</t>
  </si>
  <si>
    <t>Average cost of service provision for adults suffering from depression, per person per year - fiscal cost to the NHS</t>
  </si>
  <si>
    <t>Average cost of service provision for adults suffering from depression, per person per year - fiscal cost to the local authority</t>
  </si>
  <si>
    <t>Paying the Price: the cost of mental health care in England to 2026 (King's Fund, 2008), p.118 and 40</t>
  </si>
  <si>
    <t>Average cost of service provision for adults suffering from anxiety disorders, per person per year - fiscal cost to the NHS</t>
  </si>
  <si>
    <t>Average cost of service provision for adults suffering from anxiety disorders, per person per year - fiscal cost to the local authority</t>
  </si>
  <si>
    <t>Paying the Price: the cost of mental health care in England to 2026 (King's Fund, 2008), p.118 and 59</t>
  </si>
  <si>
    <t>Average cost of service provision for adults suffering from schizophrenic disorders, per person per year - fiscal cost to the NHS</t>
  </si>
  <si>
    <t>Average cost of service provision for adults suffering from schizophrenic disorders, per person per year - fiscal cost to the local authority</t>
  </si>
  <si>
    <t>SS5.0.1</t>
  </si>
  <si>
    <t>Extension of the cost calculator to include cost calculations for all children in need (DfE, 2010), p.7</t>
  </si>
  <si>
    <t>SS5.0.2</t>
  </si>
  <si>
    <t>SS5.0.3</t>
  </si>
  <si>
    <t>Fiscal savings to the criminal justice system from the delivery of school-based emotional learning programmes, per child over a 10 year period</t>
  </si>
  <si>
    <t>Unit Costs of Health and Social Care 2009 (Curtis, 2009), p.73</t>
  </si>
  <si>
    <r>
      <t xml:space="preserve">Apprenticeship - Transport &amp; Logistics (Level 2) </t>
    </r>
    <r>
      <rPr>
        <sz val="10"/>
        <rFont val="Arial"/>
        <family val="2"/>
      </rPr>
      <t xml:space="preserve">
Trainee product/benefit (per annum)</t>
    </r>
  </si>
  <si>
    <r>
      <t xml:space="preserve">Apprenticeship - Financial Services (Level 2) </t>
    </r>
    <r>
      <rPr>
        <sz val="10"/>
        <rFont val="Arial"/>
        <family val="2"/>
      </rPr>
      <t xml:space="preserve">
Trainee product/benefit (per annum)</t>
    </r>
  </si>
  <si>
    <r>
      <t xml:space="preserve">Apprenticeship - Financial Services (Level 3) </t>
    </r>
    <r>
      <rPr>
        <sz val="10"/>
        <rFont val="Arial"/>
        <family val="2"/>
      </rPr>
      <t xml:space="preserve">
Trainee product/benefit (per annum)</t>
    </r>
  </si>
  <si>
    <r>
      <t xml:space="preserve">Apprenticeship - Business Admin (Level 2) </t>
    </r>
    <r>
      <rPr>
        <sz val="10"/>
        <rFont val="Arial"/>
        <family val="2"/>
      </rPr>
      <t xml:space="preserve">
Trainee product/benefit (per annum)</t>
    </r>
  </si>
  <si>
    <r>
      <t xml:space="preserve">Apprenticeship - Social Care (Level 2) </t>
    </r>
    <r>
      <rPr>
        <sz val="10"/>
        <rFont val="Arial"/>
        <family val="2"/>
      </rPr>
      <t xml:space="preserve">
Trainee product/benefit (per annum)</t>
    </r>
  </si>
  <si>
    <t>E&amp;E1.0</t>
  </si>
  <si>
    <t>(DWP 2011) Co-Design Interim Report (Annex A) p29</t>
  </si>
  <si>
    <t>E&amp;E1.1</t>
  </si>
  <si>
    <t>DWP Annual Report and Accounts 2010-11, p10</t>
  </si>
  <si>
    <t xml:space="preserve">This is a constituent cost to the subsidiary measure above which gives the cost of hospital admission for any type of fall.  Similarly, this entry has been derived from data in the Scuffham et al paper, and details the cost of hospital admission due to injury from a fall on the same level, occurring as a result of (e.g.) a slip, trip or stumble.  The source gives a breakdown of unit costs across different age groups for this type of fall, but does not give an average for all age groups above 60.  This cost addresses this by providing a weighted average, which has been calculated using ONS 2010 Mid-Year population estimates data for the UK and data for hospital admissions per 10,000 population as given on p.742 of the source (detailed workings can be made available on request).  The source outlines how the cost varies for different age groups (see p.741): the average cost of hospital admission due to injuries sustained from a fall on the same level for people aged 60-64 is £1,621; for 65-69 year olds it is £1,742; for 70-74 year olds it is £2,406; and for over-75s it is £2,490.  Note that the data reported in the source are old and should be used with caution, hence the amber flag applied.                                          </t>
  </si>
  <si>
    <t>This is a constituent measure to the above headline entry, and represents the fiscal savings to the criminal justice system derived from the delivery of parenting programmes for parents of five-year old children with conduct disorder - it is the average savings per child over a 25 year period, to age 30.  The source gives a breakdown of potential savings over the 25 year period, providing the following costs at different stages: age 6 (savings to the criminal justice system over the first year following delivery of the parenting programme), £0; age 7-16 (savings for years 2-11 after programme delivery), £1,247 (averaging out at £125 per year over the ten year period); age 17-30 (savings for years 12-25 after programme delivery), £340 (£24 per year over the 14 year period).  Further detail is given in the comments cell for the related headline cost above.</t>
  </si>
  <si>
    <t>Fiscal savings to the NHS from the delivery of parenting programmes for parents of children aged five with conduct disorder, per child over a 25 year period (to age 30)</t>
  </si>
  <si>
    <t>This is a constituent measure to the above headline entry, and represents the fiscal savings to the NHS derived from the delivery of parenting programmes for parents of five-year old children with conduct disorder - it is the average savings per child over a 25 year period, to age 30.  The source gives a breakdown of potential savings over the 25 year period, providing the following costs at different stages: age 6 (savings to the NHS over the first year following delivery of the parenting programme), £168; age 7-16 (savings for years 2-11 after programme delivery), £912 (averaging out at £91 per year over the ten year period); age 17-30 (savings for years 12-25 after programme delivery), £197 (£14 per year over the 14 year period).  Further detail is given in the comments cell for the related headline cost above.</t>
  </si>
  <si>
    <t>Child taken into care (median cost, for children with emotional or behavioural difficulties) - annual legal costs, for a specific care scenario</t>
  </si>
  <si>
    <t>Constituent cost to the above, which represents a median cost scenario, one of a number of low/high/very high cost scenarios presented in the source (and reproduced in this database), which cover children with a range of needs/circumstances.  The scenario on which the cost is based, as outlined in the source, is for a child placed with foster parents who subsequently changes placement to new foster parents within the same authority, with reviews and an up-dated care plan every six months, and some educational/health expenditure.  The annual cost has been derived from data for an 83 week period, within which the care plan was updated three times - a weekly legal cost is quoted in the source, from which the annual figure has been derived (£6.60 x 52).</t>
  </si>
  <si>
    <t>SS1.2.5</t>
  </si>
  <si>
    <t>Child taken into care (median cost, for children with emotional or behavioural difficulties) - cost of finding subsequent placement, for a specific care scenario</t>
  </si>
  <si>
    <t>Note that this a stand alone cost, and does not form one of the constituent costs to the overall annual cost quoted above.  The data represent a median cost scenario, one of a number of low/high/very high cost scenarios presented in the source (and reproduced in this database), which cover children with a range of needs/circumstances.  The scenario on which the cost is based, as outlined in the source, is for a child placed with foster parents who subsequently changes placement to new foster parents within the same authority, with reviews and an up-dated care plan every six months, and some educational/health expenditure.  Finding a subsequent placement is an ad-hoc event, so has not been included in the annual cost - however, it should be incorporated if required.</t>
  </si>
  <si>
    <t>SS1.3</t>
  </si>
  <si>
    <t>Child taken into care: high cost, for children with emotional or behavioural difficulties and offending behaviour - overall annual cost, for a specific care scenario</t>
  </si>
  <si>
    <t>SS1.3.1</t>
  </si>
  <si>
    <t>Child taken into care (high cost, for children with emotional or behavioural difficulties and offending behaviour) - annual cost of care planning, for a specific care scenario</t>
  </si>
  <si>
    <t>SS1.3.2</t>
  </si>
  <si>
    <t>Child taken into care (high cost, for children with emotional or behavioural difficulties and offending behaviour) - annual cost of maintaining the placement, for a specific care scenario</t>
  </si>
  <si>
    <t>SS1.3.3</t>
  </si>
  <si>
    <t>Child taken into care (high cost, for children with emotional or behavioural difficulties and offending behaviour) - annual review costs, for a specific care scenario</t>
  </si>
  <si>
    <t>The source provides a number of scenarios for children with different needs/circumstances (costs for the other scenarios are also provided in this database).  This is a very high cost scenario, for 'difficult to place' children with disabilities, emotional or behavioural difficulties and offending behaviour.  The scenario on which the cost is based, as outlined in the source, is for a child who experienced nine different placements within the 87-week study period (the majority of which were out-of-area, and involved independent sector agencies placing the child in independent sector foster care and residential units with educational facilities).  Review meetings were held six monthly and his care plan was also updated every six months.  The annual review costs have been derived from the weekly data provided in the source (£3.50 x 52).</t>
  </si>
  <si>
    <t>SS1.4.6</t>
  </si>
  <si>
    <t>Child taken into care (very high cost, for children with disabilities, emotional or behavioural difficulties, and offending behaviour) - cost of transition to leaving care, for a specific care scenario</t>
  </si>
  <si>
    <t>This is a constituent cost to the above subsidiary measure and represents the average annual fiscal cost to the local authority of service provision (supported accommodation/residential care, day care, social services) per adult suffering from dementia.  Further information is given in the comments cell for the subsidiary cost above.  An amber flag has been applied, in recognition of the age of the data (2007-08).</t>
  </si>
  <si>
    <t>This is a constituent cost to the above subsidiary measure and represents the average annual fiscal cost to the NHS of service provision per adult suffering from dementia.  Further information is given in the comments cell for the subsidiary cost above.  An amber flag has been applied, in recognition of the age of the data (2007-08).</t>
  </si>
  <si>
    <t>This is a constituent cost to the above subsidiary measure and represents the average annual fiscal cost to the NHS of service provision per person suffering from any type of mental health disorder, excluding dementia - it is the average across all age groups, including children, adolescents and adults (but excluding children under five years of age).  Further information is given in the comments cell for the subsidiary cost above.  An amber flag has been applied, in recognition of the age of the data (2007-08).</t>
  </si>
  <si>
    <t>This is a constituent cost to the above subsidiary measure and represents the average annual fiscal cost to the local authority of service provision (supported accommodation/sheltered accommodation/residential care; social services) per person suffering from any type of mental health disorder, excluding dementia - it is the average across all age groups, including children, adolescents and adults (but excluding children under five years of age).  Further information is given in the comments cell for the subsidiary cost above.  An amber flag has been applied, in recognition of the age of the data (2007-08).</t>
  </si>
  <si>
    <t xml:space="preserve">This is a constituent cost to the subsidiary measure above which gives the cost of hospital admission for any type of fall.  Similarly, this entry has been derived from data in the Scuffham et al paper, and details the cost of hospital admission due to injury from one level to another.  The source gives a breakdown of unit costs across different age groups for this type of fall, but does not give an average for all age groups above 60.  This cost addresses this by providing a weighted average, which has been calculated using ONS 2010 Mid-Year population estimates data for the UK and data for hospital admissions per 10,000 population as given on p.742 of the source (detailed workings can be made available on request).  The source outlines how the cost varies for different age groups (see p.741): the average cost of hospital admission due to injuries sustained from a fall on the same level for people aged 60-64 is £1,707; for 65-69 year olds it is £1,792; for 70-74 year olds it is £2,133; and for over-75s it is £2,236.  Note that the data reported in the source are old and should be used with caution, hence the amber flag applied.                                           </t>
  </si>
  <si>
    <t>Cardiovascular disease (CVD) - (weighted) average cost of hospital admission for a CVD event needing a surgical procedure</t>
  </si>
  <si>
    <t>Cardiovascular disease (CVD) - average cost of hospital admission for angina needing a surgical procedure, people aged over 69</t>
  </si>
  <si>
    <t>Cardiovascular disease (CVD) - average cost of hospital admission for angina needing a surgical procedure, people aged under 70</t>
  </si>
  <si>
    <t>Prevention of Cardiovascular Disease: Costing Report (NICE, 2010), p.21-22</t>
  </si>
  <si>
    <t>Cardiovascular disease (CVD) - average cost of hospital admission for heart attack (myocardial infarction) needing a surgical procedure, without complications</t>
  </si>
  <si>
    <t>Cardiovascular disease (CVD) - average cost of hospital admission for heart attack (myocardial infarction) needing a surgical procedure, with complications</t>
  </si>
  <si>
    <t>This is a constituent cost to the above subsidiary measure and represents the average annual fiscal cost to the NHS of service provision per adult suffering from schizophrenic disorders.  Further information is given in the comments cell for the subsidiary cost above.  An amber flag has been applied, in recognition of the age of the data (2007-08).</t>
  </si>
  <si>
    <t>This is a constituent cost to the above subsidiary measure and represents the average annual fiscal cost to the local authority of service provision (residential care; social services) per adult suffering from schizophrenic disorders.  Further information is given in the comments cell for the subsidiary cost above.  An amber flag has been applied, in recognition of the age of the data (2007-08).</t>
  </si>
  <si>
    <t>This is a constituent cost to the above subsidiary measure and represents the average annual fiscal cost to the criminal justice system of service provision (prison costs) per adult suffering from schizophrenic disorders.  Further information is given in the comments cell for the subsidiary cost above.  An amber flag has been applied, in recognition of the age of the data (2007-08).</t>
  </si>
  <si>
    <t>This is a constituent cost to the above subsidiary measure and represents the average annual fiscal cost to the NHS of service provision per adult suffering from bipolar disorder and related conditions.  Further information is given in the comments cell for the subsidiary cost above.  An amber flag has been applied, in recognition of the age of the data (2007-08).</t>
  </si>
  <si>
    <t>This is a constituent cost to the above subsidiary measure and represents the average annual fiscal cost to the local authority of service provision (residential care, social services) per adult suffering from bipolar disorder and related conditions.  Further information is given in the comments cell for the subsidiary cost above.  An amber flag has been applied, in recognition of the age of the data (2007-08).</t>
  </si>
  <si>
    <t>Per action</t>
  </si>
  <si>
    <t>Per property</t>
  </si>
  <si>
    <t>Per advice session</t>
  </si>
  <si>
    <t>Per order</t>
  </si>
  <si>
    <t>For two years</t>
  </si>
  <si>
    <t>This is the average cost of three types of psychological intervention used for people with mild alcohol dependence: cognitive behavioural therapies; behavioural therapies; and social network and environment-based therapies.  Costs are per course (the series of therapy sessions received by clients), based upon staff time per session and the average number of sessions received per therapy.</t>
  </si>
  <si>
    <t>Alcohol - average cost of psychological intervention for people with mild alcohol dependence</t>
  </si>
  <si>
    <t>Alcohol - average cost of pharmacological intervention and monitoring for people with moderate or severe alcohol dependence</t>
  </si>
  <si>
    <t>Alcohol - GP advice about alcohol (for individuals with increasing or high-risk drinking)</t>
  </si>
  <si>
    <t>Inpatient detoxification for people who misuse drugs or alcohol</t>
  </si>
  <si>
    <t>Residential rehabilitation for people who misuse drugs or alcohol</t>
  </si>
  <si>
    <t>Alcohol - universal GP screening and (if required) brief intervention for alcohol misuse</t>
  </si>
  <si>
    <t>Drugs and alcohol, outpatient's attendance - consultant's services (adult)</t>
  </si>
  <si>
    <t>Unit Costs of Health and Social Care 2012 (Curtis, 2012), p.47</t>
  </si>
  <si>
    <t>This is the cost of a face-to-face, adult follow-up appointment with a hospital consultant with regard to drug and alcohol issues.  It is derived from NHS Reference Costs.</t>
  </si>
  <si>
    <t>Drug services, mental health inpatients: specialist services - children and adolescents</t>
  </si>
  <si>
    <t>National Schedule of Reference Costs Year, 2011-12: All NHS trusts and NHS foundation trusts - Other Currencies Data (currency code MHIPC2)</t>
  </si>
  <si>
    <t>This is the average cost of relapse prevention with a pharmacological intervention (acamprosate or oral naltrexone), along with the additional monitoring required when these drugs are prescribed.  Note that this cost is the additional cost of medication and monitoring, and assumes that patients also receive psychological intervention (see related cost line in this section).  The source also quotes the cost of relapse having received pharmacological intervention, at £1,800 (09-10 prices) - this is the cost used in this database as the headline measure for alcohol misuse, which gives the estimated annual cost to the NHS of alcohol dependency.</t>
  </si>
  <si>
    <t>Drugs misuse - annual savings in health and social care from delivery of a structured drug treatment programme</t>
  </si>
  <si>
    <t>Estimating the crime reduction benefits of drug treatment and recovery (National Treatment Agency for Substance Misuse, 2012), p.11</t>
  </si>
  <si>
    <t xml:space="preserve">Drugs misuse - average annual savings to the criminal justice system from reduced drug-related offending by people in receipt of effective treatment, per person </t>
  </si>
  <si>
    <t>Drugs misuse - average annual savings to the NHS from reduced drug-related offending by people in receipt of effective treatment, per person (cost refers to the reduced physical harm perpetrated on victims due to fewer robberies)</t>
  </si>
  <si>
    <t>Drug treatment - average annual cost of structured community drug treatment per person engaged in effective treatment</t>
  </si>
  <si>
    <t>Estimating the crime reduction benefits of drug treatment and recovery (National Treatment Agency for Substance Misuse, 2012), p.12</t>
  </si>
  <si>
    <t>This is the average fiscal cost of a hip fracture, comprising health service and social care provision.  The constituent cost lines below detail the underlying data, giving the cost to the NHS (£10,000) and the cost of social care (£2,700) (both at 2008-09 prices).  The source indicates that the cost is incurred over an average two year period per hip fracture.  Little detail is given in the source, which is relatively old, and costs quoted in other sources vary considerably, hence the amber flag allocated here.</t>
  </si>
  <si>
    <t>Knee replacement - average cost, with complications</t>
  </si>
  <si>
    <t>Hip replacement - average cost, with complications</t>
  </si>
  <si>
    <t>This is a scenario-based cost for complex eviction, and includes the on-going cost of providing temporary accommodation in the private rented sector whilst the homelessness application was progressing; in this scenario, the cost is based upon two weeks of temporary accommodation.  Note that costs following on from a successful homelessness application are not included - in such instances, there may be additional costs relating to extended stay in temporary accommodation and a new letting being made (see related costs in this section).  The source focuses on the fiscal costs resulting directly from the loss of a home and the immediate period leading up to this point.  Indirect costs that may accrue to the state in the future are not included, such as increased healthcare costs.  It is worth noting that these will be fiscal costs if they relate to evictions from local authority housing stock; however, if the stock belongs to a housing association or other Registered Provider, the costs that fall to that organisation are likely to be economic rather than fiscal (i.e. they do not fall directly to the public purse).  Wider economic and social costs are excluded - e.g. economic costs to private companies, individuals and organisations, and social costs to individuals and society around personal well-being, social cohesion, etc.  Data for the study were sourced from government, the Chartered Institute of Public Finance Accountants,  Shelter's local authority benchmarking service, and contributing local authorities.  An amber flag has been allocated to reflect local level variation, and the significant methodological and data issues associated with deriving unit costs relating to housing.</t>
  </si>
  <si>
    <t>This is the average cost of rent arrears incurred by tenants in social housing at the point at which a possession hearing was heard, and which are therefore written off by the landlord.</t>
  </si>
  <si>
    <r>
      <rPr>
        <sz val="10"/>
        <rFont val="Arial"/>
        <family val="2"/>
      </rPr>
      <t>Incapacity Benefit (HISTORIC)
First order fiscal benefit from a workless claimant entering work</t>
    </r>
  </si>
  <si>
    <t>This is an average cost for hospital admissions that require surgical procedure and result from heart attack (myocardial infarction, MI), without complications, and is derived from Hospital Episode Statistics (HES) data.  It is a constituent cost to the subsidiary measure above, which gives a unit cost for hospital admission for cardiovascular disease (CVD) needing a surgical procedure, based on a weighted average of the cost of various CVD conditions including heart attack.</t>
  </si>
  <si>
    <t>This is an average cost for hospital admissions that require surgical procedure and result from heart attack (myocardial infarction, MI), with complications, and is derived from Hospital Episode Statistics (HES) data.  It is a constituent cost to the subsidiary measure above, which gives a unit cost for hospital admission for cardiovascular disease (CVD) needing a surgical procedure, based on a weighted average of the cost of various CVD conditions including heart attack.</t>
  </si>
  <si>
    <t>This is an average cost for hospital admissions that require surgical procedure and result from stroke, and is derived from Hospital Episode Statistics (HES) data.  It is a constituent cost to the subsidiary measure above, which gives a unit cost for hospital admission for cardiovascular disease (CVD) needing a surgical procedure, based on a weighted average of the cost of various CVD conditions including stroke.</t>
  </si>
  <si>
    <t>This is an average cost for hospital admissions that require surgical procedure and result from TIA (transient ischemic attack, also known as mini-stroke), and is derived from Hospital Episode Statistics (HES) data.  It is a constituent cost to the subsidiary measure above, which gives a unit cost for hospital admission for cardiovascular disease (CVD) needing a surgical procedure, based on a weighted average of the cost of various CVD conditions including TIA.</t>
  </si>
  <si>
    <t>Cardiovascular disease (CVD) - average annual cost of ongoing NHS care and rehabilitation programmes following a stroke</t>
  </si>
  <si>
    <t>Prevention of Cardiovascular Disease: Costing Report (NICE, 2010), p.24</t>
  </si>
  <si>
    <t>Cardiovascular disease (CVD) - average annual cost of ongoing NHS care and rehabilitation programmes following a heart attack (myocardial infarction)</t>
  </si>
  <si>
    <t>This is the estimated average cost of ongoing NHS care and rehabilitation programmes that may be required following a heart attack (myocardial infarction, MI).  Note that the source quotes an average cost of £1,905 per patient over 40 for a five year period following the heart attack, largely relating to longer-term primary care follow-up using structured consultations or cardiac prevention clinics; this cost has been divided by five to produce an annual figure.  Such costs vary significantly depending on the seriousness of the heart attack and subsequent individual needs - for this reason, an amber flag has been allocated.</t>
  </si>
  <si>
    <t>This is the estimated average cost of ongoing NHS care and rehabilitation programmes that may be required following a stroke.  Note that the source quotes an average cost of £18,300 per patient over 40 for a five year period following the stroke; this has been divided by five to produce an annual figure  Such costs vary significantly depending on the seriousness of the stroke and subsequent individual needs - for this reason, an amber flag has been allocated.</t>
  </si>
  <si>
    <t>CR3.1</t>
  </si>
  <si>
    <t>NAO Analysis, based on CIPFA, Home Office, Ministry of Justice and Youth Justice Board Data. Cited in NAO 2011 - The cost of a cohort of offenders to the criminal justice system p34 fig14</t>
  </si>
  <si>
    <t>CR3.2</t>
  </si>
  <si>
    <t>CR4.0</t>
  </si>
  <si>
    <t>CR4.1</t>
  </si>
  <si>
    <t>CR4.2</t>
  </si>
  <si>
    <t>CR5.0</t>
  </si>
  <si>
    <t xml:space="preserve">Unit cost of court event:
Violence against a person (over 18)
(per person per court event)
</t>
  </si>
  <si>
    <t>NAO Analysis, based on CIPFA, Home Office, Ministry of Justice and Youth Justice Board Data. Cited in NAO 2011 - The cost of a cohort of offenders to the criminal justice system  p18 fig 8</t>
  </si>
  <si>
    <t>CR5.1</t>
  </si>
  <si>
    <t xml:space="preserve">Unit cost of court event:
Sexual Offences (over 18)
(per person per court event)
</t>
  </si>
  <si>
    <t>CR5.2</t>
  </si>
  <si>
    <t xml:space="preserve">Unit cost of court event:
Burglary (over 18)
(per person per court event)
</t>
  </si>
  <si>
    <t>CR5.3</t>
  </si>
  <si>
    <t xml:space="preserve">Unit cost of court event:
Robbery (over 18)
(per person per court event)
</t>
  </si>
  <si>
    <t>CR5.4</t>
  </si>
  <si>
    <t xml:space="preserve">Unit cost of court event:
Theft and handling stolen goods (over 18)
(per person per court event)
</t>
  </si>
  <si>
    <t>CR5.5</t>
  </si>
  <si>
    <t xml:space="preserve">Unit cost of court event:
Fraud and Forgery (over 18)
(per person per court event)
</t>
  </si>
  <si>
    <t>CR5.6</t>
  </si>
  <si>
    <t xml:space="preserve">Unit cost of court event:
Criminal damage (over 18)
(per person per court event)
</t>
  </si>
  <si>
    <t>CR5.7</t>
  </si>
  <si>
    <t xml:space="preserve">Unit cost of court event:
Drug offences (over 18)
(per person per court event)
</t>
  </si>
  <si>
    <t>CR5.8</t>
  </si>
  <si>
    <t xml:space="preserve">Unit cost of court event:
Indictable motoring offences (over 18)
(per person per court event)
</t>
  </si>
  <si>
    <t>CR5.9</t>
  </si>
  <si>
    <t xml:space="preserve">Unit cost of court event:
Other indictable offences (over 18)
(per person per court event)
</t>
  </si>
  <si>
    <t>CR5.10</t>
  </si>
  <si>
    <t xml:space="preserve">Unit cost of court event:
Breach offences (over 18)
(per person per court event)
</t>
  </si>
  <si>
    <t>This is a constituent cost to the above subsidiary measure and represents the average annual fiscal cost to the local authority of service provision (supported accommodation/sheltered accommodation/residential care; social services) per adult suffering from any type of mental health disorder, excluding dementia.  Further information is given in the comments cell for the subsidiary cost above.  An amber flag has been applied, in recognition of the age of the data (2007-08).</t>
  </si>
  <si>
    <t>NICE Clinical Guideline 115: Alcohol Use Disorders - alcohol dependence, costing report (National Institute for Health and Clinical Excellence, 2011), p.20</t>
  </si>
  <si>
    <t>NICE Clinical Guideline 115: Alcohol Use Disorders - alcohol dependence, costing report (National Institute for Health and Clinical Excellence, 2011), p.25</t>
  </si>
  <si>
    <t>SS1.0</t>
  </si>
  <si>
    <t>SS1.1</t>
  </si>
  <si>
    <t>Child taken into care: low cost, for children with no additional support needs - overall annual cost, for a specific care scenario</t>
  </si>
  <si>
    <t>Costs and Consequences of Placing Children in Care (Ward et al, 2008), quoted in Unit Costs of Health and Social Care 2011 (Curtis, 2011), p.120</t>
  </si>
  <si>
    <t>This is a constituent measure to the above headline entry, and represents the fiscal savings to the criminal justice system derived from the delivery of school-based emotional learning programmes (SEL) for children with conduct problems - it is the average savings per child over a ten year period.  The source gives a breakdown of potential savings over the ten years, providing the following costs at different stages: year 1 (savings over the first year following delivery of the SEL programme), £14; year 5 (savings for years 1-5 after programme delivery), £1,139; year 10 (savings for years 1-10 after programme delivery), £1,849 (all at 2009-10 prices).  The average annual saving to the criminal justice system over the ten year period is £185.  Further detail is given in the comments cell for the related headline cost above.</t>
  </si>
  <si>
    <t>The source provides a number of scenarios for children with different needs/circumstances (costs for the other scenarios are also provided in this database).  This is a very high cost scenario, for 'difficult to place' children with disabilities, emotional or behavioural difficulties and offending behaviour.  The scenario on which the cost is based, as outlined in the source, is for a child who experienced nine different placements within the 87-week study period (the majority of which were out-of-area, and involved independent sector agencies placing the child in independent sector foster care and residential units with educational facilities).  Review meetings were held six monthly and his care plan was also updated every six months.  The annual cost has been derived from data for the 87-week period, adding in the increased cost referred to in the source relating to increased social worker activity in the initial stages of a placement - the quoted (un-updated) cost = (£510,536/87 X 52) + £1,310.</t>
  </si>
  <si>
    <t>SS1.4.3</t>
  </si>
  <si>
    <t>Child taken into care (very high cost, for children with disabilities, emotional or behavioural difficulties, and offending behaviour) - annual review costs, for a specific care scenario</t>
  </si>
  <si>
    <t>The source provides a number of scenarios for children with different needs/circumstances (costs for the other scenarios are also provided in this database).  This is a very high cost scenario, for 'difficult to place' children with disabilities, emotional or behavioural difficulties and offending behaviour.  The scenario on which the cost is based, as outlined in the source, is for a child who experienced nine different placements within the 87-week study period (the majority of which were out-of-area, and involved independent sector agencies placing the child in independent sector foster care and residential units with educational facilities).  Review meetings were held six monthly and his care plan was also updated every six months.  Three reviews were undertaken across the 87-week period, and it is assumed two (six monthly) reviews were undertaken within a year - the (un-updated) annual cost is therefore £1,862 (£931 x 2).</t>
  </si>
  <si>
    <t>SS1.4.4</t>
  </si>
  <si>
    <t>Child taken into care (very high cost, for children with disabilities, emotional or behavioural difficulties, and offending behaviour) - annual cost of finding subsequent placements, for a specific care scenario</t>
  </si>
  <si>
    <t>The source provides a number of scenarios for children with different needs/circumstances (costs for the other scenarios are also provided in this database).  This is a very high cost scenario, for 'difficult to place' children with disabilities, emotional or behavioural difficulties and offending behaviour.  The scenario on which the cost is based, as outlined in the source, is for a child who experienced nine different placements within the 87-week study period (the majority of which were out-of-area, and involved independent sector agencies placing the child in independent sector foster care and residential units with educational facilities).  Review meetings were held six monthly and his care plan was also updated every six months.  As subsequent placements were needed eight times during the 87-week period, an annual cost has been derived by assuming that five placement changes would take place within a year (£11,454/8*5) - if required, local areas can use the average unit cost of finding a subsequent placement for a child with these needs/circumstances of £1,432 to price up local scenarios.</t>
  </si>
  <si>
    <t>SS1.4.5</t>
  </si>
  <si>
    <t>Child taken into care (very high cost, for children with disabilities, emotional or behavioural difficulties, and offending behaviour) - annual legal costs, for a specific care scenario</t>
  </si>
  <si>
    <t>This is a constituent cost to the above subsidiary measure and represents the average annual fiscal cost to the local authority of service provision (supported accommodation/sheltered accommodation/residential care; social services) per adult suffering from any type of mental health disorder, including dementia.  Further information is given in the comments cell for the subsidiary cost above.  An amber flag has been applied, in recognition of the age of the data (2007-08).</t>
  </si>
  <si>
    <t>This is a constituent measure to the above headline entry, and represents the fiscal savings to the NHS derived from the delivery of school-based emotional learning programmes (SEL) for children with conduct problems - it is the average savings per child over a ten year period.  The source gives a breakdown of potential savings over the ten years, providing the following costs at different stages: year 1 (savings over the first year following delivery of the SEL programme), £39; year 5 (savings for years 1-5 after programme delivery), £751; year 10 (savings for years 1-10 after programme delivery), £1,148 (all at 2009-10 prices).  The average annual saving to the criminal justice system over the ten year period is £115.  Further detail is given in the comments cell for the related headline cost above.</t>
  </si>
  <si>
    <t>Fiscal savings to the education sector from the delivery of school-based emotional learning programmes, per child over a 10 year period</t>
  </si>
  <si>
    <t>This is a constituent measure to the above headline entry, and represents the fiscal savings to the education sector (Department for Education/schools) derived from the delivery of school-based emotional learning programmes (SEL) for children with conduct problems - it is the average savings per child over a ten year period.  The source gives a breakdown of potential savings over the ten years, providing the following costs at different stages: year 1 (savings over the first year following delivery of the SEL programme), £26; year 5 (savings for years 1-5 after programme delivery), £135; year 10 (savings for years 1-10 after programme delivery), £186 (all at 2009-10 prices).  The average annual saving to the criminal justice system over the ten year period is £19.  Further detail is given in the comments cell for the related headline cost above.</t>
  </si>
  <si>
    <t>Fiscal savings to social services from the delivery of school-based emotional learning programmes, per child over a 10 year period</t>
  </si>
  <si>
    <t>Based on an average social worker time input of 49 minutes per initial contact, and average team manager additional input of 30 minutes.  But a range of values - social worker inputs varied from 15 minutes to over three hours.</t>
  </si>
  <si>
    <t>SS6.3</t>
  </si>
  <si>
    <t>Children's Social Care - initial assessment</t>
  </si>
  <si>
    <t>RAG assessment</t>
  </si>
  <si>
    <t>HE1.1</t>
  </si>
  <si>
    <t>HE2.1</t>
  </si>
  <si>
    <t>HE3.1</t>
  </si>
  <si>
    <t>HE4.1</t>
  </si>
  <si>
    <t>HE4.2</t>
  </si>
  <si>
    <t>HE5.1</t>
  </si>
  <si>
    <t>HE5.2</t>
  </si>
  <si>
    <t>HE6.1</t>
  </si>
  <si>
    <t>HE9.1</t>
  </si>
  <si>
    <t>HE10.1</t>
  </si>
  <si>
    <t>HE11.1</t>
  </si>
  <si>
    <t>HE12.1</t>
  </si>
  <si>
    <t>HE13.1</t>
  </si>
  <si>
    <t>HE14.1</t>
  </si>
  <si>
    <t>HE14.2</t>
  </si>
  <si>
    <t>HE16.1</t>
  </si>
  <si>
    <t>HE17.1</t>
  </si>
  <si>
    <t>HE18.1</t>
  </si>
  <si>
    <t>HE23.1</t>
  </si>
  <si>
    <t>HE1.2</t>
  </si>
  <si>
    <t>HE1.3</t>
  </si>
  <si>
    <t>HE1.4</t>
  </si>
  <si>
    <t>HE1.5</t>
  </si>
  <si>
    <t>HE1.6</t>
  </si>
  <si>
    <t>HE1.7</t>
  </si>
  <si>
    <t>HE1.8</t>
  </si>
  <si>
    <t>HE1.9</t>
  </si>
  <si>
    <t>HE1.10</t>
  </si>
  <si>
    <t>HE1.11</t>
  </si>
  <si>
    <t>HE1.12</t>
  </si>
  <si>
    <t>HE1.13</t>
  </si>
  <si>
    <t>HE1.14</t>
  </si>
  <si>
    <t>HE2.2</t>
  </si>
  <si>
    <t>HE2.3</t>
  </si>
  <si>
    <t>HE2.4</t>
  </si>
  <si>
    <t>HE2.5</t>
  </si>
  <si>
    <t>HE2.6</t>
  </si>
  <si>
    <t>HE2.7</t>
  </si>
  <si>
    <t>HE2.8</t>
  </si>
  <si>
    <t>HE2.9</t>
  </si>
  <si>
    <t>HE2.10</t>
  </si>
  <si>
    <t>HE2.11</t>
  </si>
  <si>
    <t>HE2.12</t>
  </si>
  <si>
    <t>HE2.13</t>
  </si>
  <si>
    <t>HE2.14</t>
  </si>
  <si>
    <t>HE2.15</t>
  </si>
  <si>
    <t>HE2.16</t>
  </si>
  <si>
    <t>HE2.17</t>
  </si>
  <si>
    <t>HE2.18</t>
  </si>
  <si>
    <t>HE2.19</t>
  </si>
  <si>
    <t>HE3.2</t>
  </si>
  <si>
    <t>HE6.2</t>
  </si>
  <si>
    <t>Mental health nurse, community-based - cost per hour (excluding qualification costs)</t>
  </si>
  <si>
    <t>Counselling services in primary medical care, cost per hour</t>
  </si>
  <si>
    <t>Nurse, GP practice - cost per hour</t>
  </si>
  <si>
    <t>Advanced Nurse, GP practice - cost per hour</t>
  </si>
  <si>
    <t>GP contact - cost per hour of patient contact, out-of-surgery activity (clinics, home visits)</t>
  </si>
  <si>
    <t>GP contact - cost per face-to-face consultation with patients (average 11.7 minutes)</t>
  </si>
  <si>
    <t>GP contact - cost per telephone consultation (average 7.1 minutes)</t>
  </si>
  <si>
    <t>GP - cost per hour, General Medical Services activity</t>
  </si>
  <si>
    <t>GP contact - cost per out-of-surgery visit (average 23.4 minutes)</t>
  </si>
  <si>
    <t>GP - annual cost</t>
  </si>
  <si>
    <t>GP - prescription costs per consultation</t>
  </si>
  <si>
    <t>Community physiotherapist - cost per hour</t>
  </si>
  <si>
    <t>NHS community occupational therapist - cost per hour</t>
  </si>
  <si>
    <t>Community speech and language therapist - cost per hour</t>
  </si>
  <si>
    <t>Community chiropodist/podiatrist - cost per hour</t>
  </si>
  <si>
    <t>Community pharmacist - cost per hour</t>
  </si>
  <si>
    <t>Community nurse (district nursing sister, district nurse) - cost per hour</t>
  </si>
  <si>
    <t>Health visitor - cost per hour</t>
  </si>
  <si>
    <t>Specialist community nurse - cost per hour</t>
  </si>
  <si>
    <t xml:space="preserve">Community nursing, clinical support worker </t>
  </si>
  <si>
    <t>Hospital day cases - average cost per episode</t>
  </si>
  <si>
    <t>A&amp;E attendance - investigation with subsequent treatment</t>
  </si>
  <si>
    <t>A&amp;E attendance - investigation with subsequent treatment, leading to admission</t>
  </si>
  <si>
    <t>A&amp;E attendance - investigation with subsequent treatment, not leading to admission</t>
  </si>
  <si>
    <t>NDTMS Unit Cost Report - national and regional totals</t>
  </si>
  <si>
    <t>Per service user contact</t>
  </si>
  <si>
    <t>Structured Day Programme - cost per day in treatment</t>
  </si>
  <si>
    <t>This is the national (English) average cost per service user contact for drug aftercare services.   It is sourced from the National Drug Treatment Monitoring System (NDTMS) 'Unit Costs Report - Regional and National Totals', which is based upon financial information on community drug treatment from the NHS Costing Manual; the data comprise pay, non-pay and indirect costs.  Note that users are required to register before being granted access to this and other resources on the NDTMS website.  Note also the age of the data - hence the amber flag.</t>
  </si>
  <si>
    <t>Drug Aftercare - cost per service user contact</t>
  </si>
  <si>
    <t>Drug Outreach - cost per service user contact</t>
  </si>
  <si>
    <t>Drug Worker - annual salary costs</t>
  </si>
  <si>
    <t>Needle Exchange - cost per service user contact</t>
  </si>
  <si>
    <t>Drug Advice and Information - cost per service user contact</t>
  </si>
  <si>
    <t>This is the national (English) average cost per service user contact for drug advice and information (across a range of different eligible providers).  It is sourced from the National Drug Treatment Monitoring System (NDTMS) 'Unit Costs Report - Regional and National Totals', which is based upon financial information on community drug treatment from the NHS Costing Manual; the data comprise pay, non-pay and indirect costs.  Note that users are required to register before being granted access to this and other resources on the NDTMS website.  Note also the age of the data - hence the amber flag.</t>
  </si>
  <si>
    <t>This is the national (English) average cost per service user contact for drug outreach services.  It is sourced from the National Drug Treatment Monitoring System (NDTMS) 'Unit Costs Report - Regional and National Totals', which is based upon financial information on community drug treatment from the NHS Costing Manual; the data comprise pay, non-pay and indirect costs.  Note that users are required to register before being granted access to this and other resources on the NDTMS website.  Note also the age of the data - hence the amber flag.</t>
  </si>
  <si>
    <t>This is the national (English) average cost for needle exchange per service user contact.  It is sourced from the National Drug Treatment Monitoring System (NDTMS) 'Unit Costs Report - Regional and National Totals', which is based upon financial information on community drug treatment from the NHS Costing Manual; the data comprise pay, non-pay and indirect costs.  Note that users are required to register before being granted access to this and other resources on the NDTMS website.  Note also the age of the data - hence the amber flag.</t>
  </si>
  <si>
    <t xml:space="preserve">This is the national (English) average annual salary for a drug worker.  It is sourced from the National Drug Treatment Monitoring System (NDTMS) 'Unit Costs Report - Regional and National Totals', which is based upon financial information on community drug treatment from the NHS Costing Manual; the data comprise pay, non-pay and indirect costs.  Note that users are required to register before being granted access to this and other resources on the NDTMS website; note also the age of the data - hence the amber flag.  It is not clear from the source whether this sum comprises total employment costs, including on-costs, qualifications and training, overheads, etc., or simply constitutes salary costs - the latter is more likely.  Costs are also available at regional level.  </t>
  </si>
  <si>
    <t>Abortion - average cost of a medical termination of pregnancy, less than 14 weeks gestation</t>
  </si>
  <si>
    <t>This is the national (English) average cost per day in treatment for access to a structured day programme for drug misusers ('days in treatment' is defined as the number of days between the intervention start date and the intervention end date for those having an open intervention).   It is sourced from the National Drug Treatment Monitoring System (NDTMS) 'Unit Costs Report - Regional and National Totals', which is based upon financial information on community drug treatment from the NHS Costing Manual; the data comprise pay, non-pay and indirect costs.  Note that users are required to register before being granted access to this and other resources on the NDTMS website.  Note also the age of the data - hence the amber flag.  The source also quotes an average annual cost per service user in treatment of £1,500 (2007-08 prices).</t>
  </si>
  <si>
    <t>This is the average annual cost per participant of a telehealth intervention.  It is derived from a research study into national Whole System Demonstrator pilots, and is based on a range of different types of telehealth intervention.  Constituent entries for equipment and support costs are given below.  The source notes that data were collected from only three sites, so the extent to which the costs can be generalised beyond these sites should be considered - for this reason, an amber flag has been allocated.</t>
  </si>
  <si>
    <t>Average annual cost of telecare provision per participant</t>
  </si>
  <si>
    <t>Unit Costs of Health &amp; Social Care 2013 (Curtis, 2013), p.29</t>
  </si>
  <si>
    <t>This is the average annual cost per participant of a telecare intervention.  It is derived from a research study into national Whole System Demonstrator pilots, and is based on a range of different types of telecare intervention.  Constituent entries for equipment and support costs are given below.  The source notes that data were collected from only three sites, so the extent to which the costs can be generalised beyond these sites should be considered - for this reason, an amber flag has been allocated.</t>
  </si>
  <si>
    <t>HE25.0.1</t>
  </si>
  <si>
    <t>This is a constituent cost to the above subsidiary measure and represents the average annual fiscal cost to the NHS of service provision per adult suffering from any type of mental health disorder, excluding dementia.  Further information is given in the comments cell for the subsidiary cost above.  An amber flag has been applied, in recognition of the age of the data (2007-08).</t>
  </si>
  <si>
    <t>This is a constituent cost to the above subsidiary measure and represents the average annual fiscal cost to the criminal justice system of service provision (prison costs related to schizophrenic disorders) per adult suffering from any type of mental health disorder, excluding dementia.  Further information is given in the comments cell for the subsidiary cost above.  An amber flag has been applied, in recognition of the age of the data (2007-08).</t>
  </si>
  <si>
    <t>This is a constituent cost to the above subsidiary measure and represents the average annual fiscal cost to the NHS of service provision per adult suffering from depression.  Further information is given in the comments cell for the subsidiary cost above.  An amber flag has been applied, in recognition of the age of the data (2007-08).</t>
  </si>
  <si>
    <t>This is a constituent cost to the above subsidiary measure and represents the average annual fiscal cost to the local authority of service provision (supported accommodation, social services) per adult suffering from depression.  Further information is given in the comments cell for the subsidiary cost above.  An amber flag has been applied, in recognition of the age of the data (2007-08).</t>
  </si>
  <si>
    <t>This is a constituent cost to the above subsidiary measure and represents the average annual fiscal cost to the NHS of service provision per adult suffering from anxiety disorders.  Further information is given in the comments cell for the subsidiary cost above.  An amber flag has been applied, in recognition of the age of the data (2007-08).</t>
  </si>
  <si>
    <t>This is a constituent cost to the above subsidiary measure and represents the average annual fiscal cost to the local authority of service provision (supported accommodation, social services) per adult suffering from anxiety disorders.  Further information is given in the comments cell for the subsidiary cost above.  An amber flag has been applied, in recognition of the age of the data (2007-08).</t>
  </si>
  <si>
    <t>Hospital inpatients - average cost per episode, elective admissions</t>
  </si>
  <si>
    <t>Hospital inpatients - average cost per episode (elective and non-elective admissions)</t>
  </si>
  <si>
    <t>Hospital inpatients - average cost per episode, non-elective admissions</t>
  </si>
  <si>
    <t>Constituent cost to the above, which represents a high cost scenario, one of a number of different cost scenarios presented in the source (and reproduced in this database), which cover children with a range of needs/circumstances.  The scenario on which the cost is based, as outlined in the source, covers 'difficult to place' children with emotional or behavioural difficulties and offending behaviours - the scenario is based upon the costs associated with a child who experienced ten different placements within the 74-week study period (including out-of-authority, residential placements provided by independent sector agencies), and who ceased being looked after when he refused to return to any placement provided by the local authority.  Reviews and an up-dated care plan were undertaken every six months.  The annual cost has been derived from data for the 74-week period, adding in the increased cost referred to in the source relating to increased social worker activity in the initial stages of a placement - the quoted (un-updated) cost = (£267,041/74 X 52) + £1,200.</t>
  </si>
  <si>
    <t>DWP note: whilst the data are based upon getting the claimant into work for an entire year, internal analysis shows that at the national level around 75% of IB claimants stay off benefit for twelve months or more.  Data take into account the effect of in-work tax credits (which off-set some of the benefit savings), and represent the 'average' claimant, not those in disadvantaged groups such as ethnic minorities and older people (the cost of getting some groups into employment is likely to be greater than the average cost).</t>
  </si>
  <si>
    <t>E&amp;E2.1</t>
  </si>
  <si>
    <t>E&amp;E2.2</t>
  </si>
  <si>
    <t>E&amp;E2.3</t>
  </si>
  <si>
    <t>E&amp;E2.4</t>
  </si>
  <si>
    <t>E&amp;E2.5</t>
  </si>
  <si>
    <t>E&amp;E2.6</t>
  </si>
  <si>
    <t>E&amp;E2.7</t>
  </si>
  <si>
    <t>E&amp;E2.8</t>
  </si>
  <si>
    <t>E&amp;E2.9</t>
  </si>
  <si>
    <t>E&amp;E3.0</t>
  </si>
  <si>
    <t>E&amp;E3.1</t>
  </si>
  <si>
    <t>E&amp;E4.0</t>
  </si>
  <si>
    <t>E&amp;E4.1</t>
  </si>
  <si>
    <t>E&amp;E4.2</t>
  </si>
  <si>
    <t>E&amp;E6.0</t>
  </si>
  <si>
    <t>E&amp;E6.1</t>
  </si>
  <si>
    <t>E&amp;E6.2</t>
  </si>
  <si>
    <t>Coles et al 2010: Estimating the life-time cost of NEET:
16-18 year olds not in Education, Employment or Training p37 tab 3.7</t>
  </si>
  <si>
    <t>Presents a calculation of the public finance cost of each of the case studies being NEET. Aggregated the life-time welfare payments of each case with the lost contributions (an estimate of lost tax and National Insurance) because of their unemployment.</t>
  </si>
  <si>
    <t>Average consequence cost per fire</t>
  </si>
  <si>
    <t>The economic cost of fire: estimates for 2008 - Fire Research Report 3/2011 (Department for Communities and Local Government, 2011), p.29-30</t>
  </si>
  <si>
    <t>Average cost of fatalities per fire</t>
  </si>
  <si>
    <t>This is an estimated value for the annual fiscal savings derived by schools as a result of entrants to reception year (at age 4-5) achieving a 'good' level of development at the Early Years Foundation Stage.  The cost is based on Department for Education illustrative examples for calculating school budgets, and is premised on the link between increased school readiness and a reduction in the cost of special education needs provision.  However, as funding mechanisms for schools are based on local funding arrangements and the way that Local Authorities allocate Dedicated Schools Grant (DSG) funding, the actual fiscal benefit will depend upon local arrangements.  There will also be longer-term economic impacts for individual children who have an improved education.  An amber flag has been allocated to reflect the potential variance in the quoted cost.</t>
  </si>
  <si>
    <t>Homelessness application - average one-off and on-going costs associated with statutory homelessness</t>
  </si>
  <si>
    <t>E&amp;S1.0</t>
  </si>
  <si>
    <t>E&amp;S2.0</t>
  </si>
  <si>
    <t>E&amp;S3.0</t>
  </si>
  <si>
    <t>E&amp;S4.0</t>
  </si>
  <si>
    <t>E&amp;S5.0</t>
  </si>
  <si>
    <t>E&amp;S6.0</t>
  </si>
  <si>
    <t>E&amp;S7.0</t>
  </si>
  <si>
    <t>E&amp;S8.0</t>
  </si>
  <si>
    <t>E&amp;S9.0</t>
  </si>
  <si>
    <t>E&amp;S10.0</t>
  </si>
  <si>
    <t>E&amp;S11.0</t>
  </si>
  <si>
    <t>E&amp;S12.0</t>
  </si>
  <si>
    <t>E&amp;S13.0</t>
  </si>
  <si>
    <t>E&amp;S4.1</t>
  </si>
  <si>
    <t>E&amp;S8.2</t>
  </si>
  <si>
    <t>E&amp;S8.3</t>
  </si>
  <si>
    <t>E&amp;S8.4</t>
  </si>
  <si>
    <t>E&amp;S8.5</t>
  </si>
  <si>
    <t>E&amp;S8.6</t>
  </si>
  <si>
    <t>E&amp;S12.2</t>
  </si>
  <si>
    <t>E&amp;S12.3</t>
  </si>
  <si>
    <t>E&amp;S1.0.1</t>
  </si>
  <si>
    <t>E&amp;S1.0.2</t>
  </si>
  <si>
    <t>E&amp;S1.0.3</t>
  </si>
  <si>
    <t>E&amp;S1.0.4</t>
  </si>
  <si>
    <t>E&amp;S2.0.1</t>
  </si>
  <si>
    <t>E&amp;S2.0.2</t>
  </si>
  <si>
    <t>E&amp;S2.0.3</t>
  </si>
  <si>
    <t>E&amp;S2.0.4</t>
  </si>
  <si>
    <t>E&amp;S4.1.1</t>
  </si>
  <si>
    <t>E&amp;S4.1.2</t>
  </si>
  <si>
    <t>E&amp;S4.1.3</t>
  </si>
  <si>
    <t>E&amp;S4.1.4</t>
  </si>
  <si>
    <t>Employment and Support Allowance
Fiscal benefit from a workless claimant entering work - benefits payments</t>
  </si>
  <si>
    <t>Employment and Support Allowance
Fiscal benefit from a workless claimant entering work - improved health</t>
  </si>
  <si>
    <t>See note to headline cost above</t>
  </si>
  <si>
    <t>Job Seekers' Allowance
Fiscal benefit from a workless claimant entering work - benefits payments</t>
  </si>
  <si>
    <t>Job Seekers' Allowance
Fiscal benefit from a workless claimant entering work - improved health</t>
  </si>
  <si>
    <t>E&amp;E1.0.1</t>
  </si>
  <si>
    <t>E&amp;E1.0.2</t>
  </si>
  <si>
    <t>E&amp;E3.0.1</t>
  </si>
  <si>
    <t>E&amp;E3.0.2</t>
  </si>
  <si>
    <t>E&amp;E2.0</t>
  </si>
  <si>
    <t>E&amp;E3.2</t>
  </si>
  <si>
    <t>E&amp;E3.3</t>
  </si>
  <si>
    <t>E&amp;E3.4</t>
  </si>
  <si>
    <t>E&amp;E3.5</t>
  </si>
  <si>
    <t>E&amp;E3.6</t>
  </si>
  <si>
    <t>E&amp;E3.7</t>
  </si>
  <si>
    <t>E&amp;E5.0</t>
  </si>
  <si>
    <t>E&amp;E5.1</t>
  </si>
  <si>
    <t>E&amp;E5.2</t>
  </si>
  <si>
    <t>Average cost of service provision for people suffering from dementia, per person per year - fiscal cost to the local authority</t>
  </si>
  <si>
    <t>Average cost of service provision for people suffering from dementia, per person per year - fiscal cost to the NHS</t>
  </si>
  <si>
    <t>Abortion - average cost of a medical termination of pregnancy, 14 to 20 weeks gestation</t>
  </si>
  <si>
    <t>Miscarriage - average cost of a threatened or spontaneous miscarriage</t>
  </si>
  <si>
    <t>This is the weighted average cost of hospital admissions that require surgical procedure, and result from a range of potential cardiovascular conditions including angina, heart attack (myocardial infarction), TIA (transient ischemic attack, also known as mini-strokes), and strokes.  It is derived from Hospital Episode Statistics (HES) data.  Unit costs for the individual conditions are detailed below as constituent costs.</t>
  </si>
  <si>
    <t>This is an average cost for hospital admissions that require surgical procedure and result from angina, for people aged over 69, and is derived from Hospital Episode Statistics (HES) data.  It is a constituent cost to the subsidiary measure above, which gives a unit cost for hospital admission for cardiovascular disease (CVD) needing a surgical procedure, based on a weighted average of the cost of various CVD conditions including angina.</t>
  </si>
  <si>
    <t>This is an average cost for hospital admissions that require surgical procedure and result from angina, for people aged under 70, and is derived from Hospital Episode Statistics (HES) data.  It is a constituent cost to the subsidiary measure above, which gives a unit cost for hospital admission for cardiovascular disease (CVD) needing a surgical procedure, based on a weighted average of the cost of various CVD conditions including angina.</t>
  </si>
  <si>
    <r>
      <t xml:space="preserve">Apprenticeship - Construction (Level 3) </t>
    </r>
    <r>
      <rPr>
        <sz val="10"/>
        <rFont val="Arial"/>
        <family val="2"/>
      </rPr>
      <t xml:space="preserve">
Trainee product/benefit (per annum)</t>
    </r>
  </si>
  <si>
    <r>
      <t xml:space="preserve">Apprenticeship - Retail (Level 2) </t>
    </r>
    <r>
      <rPr>
        <sz val="10"/>
        <rFont val="Arial"/>
        <family val="2"/>
      </rPr>
      <t xml:space="preserve">
Trainee product/benefit (per annum)</t>
    </r>
  </si>
  <si>
    <r>
      <t xml:space="preserve">Apprenticeship - Hospitality (Level 2) </t>
    </r>
    <r>
      <rPr>
        <sz val="10"/>
        <rFont val="Arial"/>
        <family val="2"/>
      </rPr>
      <t xml:space="preserve">
Trainee product/benefit (per annum)</t>
    </r>
  </si>
  <si>
    <t>A constituent cost to the above cost line, the average consequence cost of fire, giving the average cost of fatalities per fire.  Note that this is an average cost across all fires, including both those that resulted in fatalities and those that did not; as such, it should not be used as a unit cost for fatalities resulting from fire (the following cost line should be used instead: the 'average value of prevention of an accident resulting in a fatality').  Note also that the cost line includes wider, non-fiscal costs associated with fatalities, such as lost output (economic cost) and human costs (social costs) (this is not the case for the quoted cost for 'average value of prevention of an accident resulting in a fatality', which comprises just medical and ambulance costs).  The cost is the English average; the source also gives averages for the nine English regions.</t>
  </si>
  <si>
    <t>Average cost of injuries per fire</t>
  </si>
  <si>
    <t>A constituent cost to the above cost line, the average consequence cost of fire, giving the average cost of injuries per fire.  Note that this is an average cost across all fires, including both those that resulted in injuries and those that did not; as such, it should not be used as a unit cost for injuries resulting from fire (the following cost line should be used instead: the 'average value of prevention of an accident resulting in an injury').  Note also that the cost line includes wider, non-fiscal costs associated with injuries, such as lost output (economic cost) and human costs (social costs) (this is not the case for the quoted cost for 'average value of prevention of an accident resulting in an injury', which comprises just medical and ambulance costs).  The cost is the English average; the source also gives averages for the nine English regions.</t>
  </si>
  <si>
    <t>Average costs to the criminal justice system per fire</t>
  </si>
  <si>
    <t>Cost is based on the core costs of activity by the social worker, team manager and administrator.  It is based on a mean input by social workers to complete an initial assessment of 10.5 hours; however, there is considerable range in inputs, with time inputs reported as varying between 4 hours 40 minutes to more than 20 hours.</t>
  </si>
  <si>
    <t>SS6.4</t>
  </si>
  <si>
    <t>Children's Social Care - core assessment</t>
  </si>
  <si>
    <t>Calculating the cost and capacity implications for local authorities implementing the Laming (2009) recommendations (Holmes et al, 2010), p.15</t>
  </si>
  <si>
    <t>Unlike the related costs above, this is not based upon time use activity data collected as part of this study.  The activity figure of 26 ¼ hours was taken from Cleaver and Walker with Meadows (2004), and multiplied by the unit cost per hour for a social worker outlined in Appendix One of this report.  Although cost per hour data is relatively recent, and like comparable data appears robust, the time input data are older and cannot be verified.</t>
  </si>
  <si>
    <t>ADULT RESIDENTIAL / NURSING CARE</t>
  </si>
  <si>
    <t>SS7.0</t>
  </si>
  <si>
    <t>Residential care for older people - average gross weekly expenditure per person, England</t>
  </si>
  <si>
    <t>SS7.1</t>
  </si>
  <si>
    <t>Local authority residential care for older people - overall cost per week</t>
  </si>
  <si>
    <t>SS7.1.1</t>
  </si>
  <si>
    <t>Local authority residential care for older people - cost of buildings and on-costs per week</t>
  </si>
  <si>
    <t>SS7.1.2</t>
  </si>
  <si>
    <t>Local authority residential care for older people - land costs</t>
  </si>
  <si>
    <t>SS7.1.3</t>
  </si>
  <si>
    <t>Local authority residential care for older people - revenue costs per week</t>
  </si>
  <si>
    <t>SS8.0</t>
  </si>
  <si>
    <t>SS9.0</t>
  </si>
  <si>
    <t>INTERMEDIATE CARE</t>
  </si>
  <si>
    <t>SS10.0</t>
  </si>
  <si>
    <t>Intermediate care based in residential home - average cost per bed day per person</t>
  </si>
  <si>
    <t>National Audit of Intermediate Care, 2012, p.31</t>
  </si>
  <si>
    <t>Intermediate care based in nursing home - average cost per bed day per person</t>
  </si>
  <si>
    <t>Intermediate care based in community hospital - average cost per bed day per person</t>
  </si>
  <si>
    <t>Intermediate care based in acute hospital setting - average cost per bed day per person</t>
  </si>
  <si>
    <t>Home-based intermediate care services - median cost per week per person</t>
  </si>
  <si>
    <t>REABLEMENT</t>
  </si>
  <si>
    <t>SS11.0</t>
  </si>
  <si>
    <t>Reablement Service - average cost per service user</t>
  </si>
  <si>
    <t>HOME / COMMUNITY CARE</t>
  </si>
  <si>
    <t>SS12.0</t>
  </si>
  <si>
    <t>Average gross weekly cost of home care packages for older people, England</t>
  </si>
  <si>
    <t>SS12.1</t>
  </si>
  <si>
    <t>Average gross weekly cost of home care packages for adults and older people, England</t>
  </si>
  <si>
    <t>SS12.2</t>
  </si>
  <si>
    <t>Cost of home care provided by the local authority (average cost per hour)</t>
  </si>
  <si>
    <t>Community care package for older people, cost of health and social care package per week - very low cost</t>
  </si>
  <si>
    <t>Community care package for older people, cost of health and social care package per week - low cost</t>
  </si>
  <si>
    <t>Community care package for older people, cost of health and social care package per week - median cost</t>
  </si>
  <si>
    <t>Community care package for older people, cost of health and social care package per week - high cost</t>
  </si>
  <si>
    <t>Community care package for older people, cost of health and social care package per week - very high cost</t>
  </si>
  <si>
    <t>Intensive Case Management for Older People - cost per hour</t>
  </si>
  <si>
    <t>Local data sourced from the Essex Family databook, and derived from the Connected Care Essex Pilot intervention.</t>
  </si>
  <si>
    <t>Meals on wheels (average cost per week)</t>
  </si>
  <si>
    <t>Hoist (median total cost)</t>
  </si>
  <si>
    <t>Low level bath (median total cost)</t>
  </si>
  <si>
    <t>Wheelchair (powered) - cost per year</t>
  </si>
  <si>
    <t>Wheelchair (active user) - cost per year</t>
  </si>
  <si>
    <t>Intermediate care based in residential home - cost per week per person, across different types of care scheme</t>
  </si>
  <si>
    <t xml:space="preserve">Unit cost of court event:
Violence against a person (under 18)
(per person per court event)
</t>
  </si>
  <si>
    <t xml:space="preserve">Unit cost of court event:
Sexual Offences (under 18)
(per person per court event)
</t>
  </si>
  <si>
    <t xml:space="preserve">Unit cost of court event:
Burglary (under 18)
(per person per court event)
</t>
  </si>
  <si>
    <t xml:space="preserve">Unit cost of court event:
Robbery (under 18)
(per person per court event)
</t>
  </si>
  <si>
    <t xml:space="preserve">Unit cost of court event:
Theft and handling stolen goods (under 18)
(per person per court event)
</t>
  </si>
  <si>
    <t xml:space="preserve">Unit cost of court event:
Fraud and Forgery (under 18)
(per person per court event)
</t>
  </si>
  <si>
    <t xml:space="preserve">Unit cost of court event:
Criminal damage (under 18)
(per person per court event)
</t>
  </si>
  <si>
    <t xml:space="preserve">Unit cost of court event:
Drug offences (under 18)
(per person per court event)
</t>
  </si>
  <si>
    <t xml:space="preserve">Unit cost of court event:
Indictable motoring offences (under 18)
(per person per court event)
</t>
  </si>
  <si>
    <t xml:space="preserve">Unit cost of court event:
Breach offences (under 18)
(per person per court event)
</t>
  </si>
  <si>
    <t xml:space="preserve">Unit cost of custody served in prison (under 18):
(per person per month)
</t>
  </si>
  <si>
    <t>CR6.0</t>
  </si>
  <si>
    <t xml:space="preserve"> Salford: Police costs 2006/07</t>
  </si>
  <si>
    <t>£342 police costs, £245 duty solicitor costs, £6 YOS input (average figure per arrest - most arrests will not include YOS input)</t>
  </si>
  <si>
    <t>CR6.1</t>
  </si>
  <si>
    <t>100% police costs</t>
  </si>
  <si>
    <t>CR7.0</t>
  </si>
  <si>
    <t>CR7.1</t>
  </si>
  <si>
    <t>Do not delete rows</t>
  </si>
  <si>
    <t>BIS (2011): Returns to Intermediate and Low Level Vocational Qualifications p9 to 10</t>
  </si>
  <si>
    <t>IER (2011): Net Benefits of Training Study 2011 p67, quoted in Employer Investment in Apprenticeships and Workplace Learning: The Fifth Net Benefits of Training to Employers Study (BIS Research Paper Number 67, 2012)</t>
  </si>
  <si>
    <t>IER (2011): Net Benefits of Training Study 2011 p82, quoted in Employer Investment in Apprenticeships and Workplace Learning: The Fifth Net Benefits of Training to Employers Study (BIS Research Paper Number 67, 2012)</t>
  </si>
  <si>
    <t>IER (2011): Net Benefits of Training Study 2011 p98, quoted in Employer Investment in Apprenticeships and Workplace Learning: The Fifth Net Benefits of Training to Employers Study (BIS Research Paper Number 67, 2012)</t>
  </si>
  <si>
    <t>IER (2011): Net Benefits of Training Study 2011 p112, quoted in Employer Investment in Apprenticeships and Workplace Learning: The Fifth Net Benefits of Training to Employers Study (BIS Research Paper Number 67, 2012)</t>
  </si>
  <si>
    <t>IER (2011): Net Benefits of Training Study 2011 p128, quoted in Employer Investment in Apprenticeships and Workplace Learning: The Fifth Net Benefits of Training to Employers Study (BIS Research Paper Number 67, 2012)</t>
  </si>
  <si>
    <t>IER (2011): Net Benefits of Training Study 2011 p146, quoted in Employer Investment in Apprenticeships and Workplace Learning: The Fifth Net Benefits of Training to Employers Study (BIS Research Paper Number 67, 2012)</t>
  </si>
  <si>
    <t>Constituent cost to the above, which represents the lowest cost of a number of scenarios presented in the source (and reproduced in this database), which cover children with a range of needs/circumstances.  The scenario on which the cost is based, as outlined in the source, is for a child placed with the same foster parents for eight years before leaving care, with reviews and an up-dated care plan every six months, and some educational/health expenditure.  The annual cost has been derived from data for an 87-week period, within which reviews were undertaken three times - assumed that this will happen twice in a single year, hence cost = (2x cost of one review @ £466)+(additional £13 cost incurred on first review).</t>
  </si>
  <si>
    <t>SS1.1.4</t>
  </si>
  <si>
    <t>Child taken into care (low cost, for children with no additional support needs) - annual legal costs, for a specific care scenario</t>
  </si>
  <si>
    <t>Constituent cost to the above, which represents the lowest cost of a number of scenarios presented in the source (and reproduced in this database), which cover children with a range of needs/circumstances.  The scenario on which the cost is based, as outlined in the source, is for a child placed with the same foster parents for eight years before leaving care, with reviews and an up-dated care plan every six months, and some educational/health expenditure.  The annual cost has been derived from data for an 87-week period, within which the care plan was updated three times - a weekly legal cost is quoted in the source, from which the annual figure has been derived (£5.40 x 52).</t>
  </si>
  <si>
    <t>SS1.1.5</t>
  </si>
  <si>
    <t>Child taken into care (low cost, for children with no additional support needs) - cost of transition to leaving care, for a specific care scenario</t>
  </si>
  <si>
    <t>SS1.2</t>
  </si>
  <si>
    <t>Child taken into care: median cost, for children with emotional or behavioural difficulties - overall annual cost, for a specific care scenario</t>
  </si>
  <si>
    <t>The source provides a number of scenarios for children with different needs/circumstances (costs for the other scenarios are also provided in this database).  This scenario, for children with emotional or behavioural difficulties, provides a median cost, based upon (as outlined in the source) a child placed with foster parents who subsequently changes placement to new foster parents within the same authority, with reviews and an up-dated care plan every six months, and some educational/health expenditure (this is detailed in the report, but is not documented here as the focus is on cost to local authority social services).  Note that the source data covers an 87-week period; this has been adapted to develop an annual cost, using the constituent costs detailed below (see the individual entries for information on the source data and how an annual cost has been derived from them).  Note also that although the source details this as a 'median cost', the cost of the scenario given is actually higher than the equivalent 'low cost' scenario (see SS1.1).</t>
  </si>
  <si>
    <t>SS1.2.1</t>
  </si>
  <si>
    <t>Child taken into care (median cost, for children with emotional or behavioural difficulties) - annual cost of care planning, for a specific care scenario</t>
  </si>
  <si>
    <t>Constituent cost to the above, which represents a median cost scenario, one of a number of low/high/very high cost scenarios presented in the source (and reproduced in this database), which cover children with a range of needs/circumstances.  The scenario on which the cost is based, as outlined in the source, is for a child placed with foster parents who subsequently changes placement to new foster parents within the same authority, with reviews and an up-dated care plan every six months, and some educational/health expenditure.  The annual cost has been derived from data for an 87-week period, within which the care plan was updated three times - assumed that this will happen twice in a single year, hence cost is two-thirds of original (un-updated) figure of £412.</t>
  </si>
  <si>
    <t>SS1.2.2</t>
  </si>
  <si>
    <t>Child taken into care (median cost, for children with emotional or behavioural difficulties) - annual cost of maintaining the placement, for a specific care scenario</t>
  </si>
  <si>
    <t>Constituent cost to the above, which represents a median cost scenario, one of a number of low/high/very high cost scenarios presented in the source (and reproduced in this database), which cover children with a range of needs/circumstances.  The scenario on which the cost is based, as outlined in the source, is for a child placed with foster parents who subsequently changes placement to new foster parents within the same authority, with reviews and an up-dated care plan every six months, and some educational/health expenditure.  The annual cost has been derived from data for an 83 week period, but the source states the cost per week for maintaining the placement as £495 - this has been used to derive the annual figure (the drop-off in cost after a year has been ignored for the purposes of this calculation, but the up-front social worker cost of £327 has been included).</t>
  </si>
  <si>
    <t>SS1.2.3</t>
  </si>
  <si>
    <t>Child taken into care (median cost, for children with emotional or behavioural difficulties) - annual review costs, for a specific care scenario</t>
  </si>
  <si>
    <t>Constituent cost to the above, which represents a median cost scenario, one of a number of low/high/very high cost scenarios presented in the source (and reproduced in this database), which cover children with a range of needs/circumstances.  The scenario on which the cost is based, as outlined in the source, is for a child placed with foster parents who subsequently changes placement to new foster parents within the same authority, with reviews and an up-dated care plan every six months, and some educational/health expenditure.  The annual cost has been derived from data for an 83 week period, within which reviews were undertaken three times - assumed that this will happen twice in a single year, hence cost = 2x cost of one review @ £466.</t>
  </si>
  <si>
    <t>SS1.2.4</t>
  </si>
  <si>
    <t>This is a constituent cost to the above subsidiary measure and represents the average annual fiscal cost to the criminal justice system of service provision (prison costs related to schizophrenic disorders) per person suffering from any type of mental health disorder, including dementia - it is the average across all age groups, including children, adolescents and adults (but excluding children under five years of age).  Further information is given in the comments cell for the subsidiary cost above.  An amber flag has been applied, in recognition of the age of the data (2007-08).</t>
  </si>
  <si>
    <t>Per child over a 25 year period</t>
  </si>
  <si>
    <t>Mental Health Promotion and Mental Illness Prevention: the economic case (Knapp et al, 2011), p.6-7</t>
  </si>
  <si>
    <t>Fiscal savings to the criminal justice system from the delivery of parenting programmes for parents of children aged five with conduct disorder, per child over a 25 year period (to age 30)</t>
  </si>
  <si>
    <t>This is the average cost of health care provision for people sustaining a hip fracture.  The source indicates that the cost is incurred over an average two year period per hip fracture.  Little detail is given in the source, which is relatively old, and costs quoted in other sources vary considerably, hence the amber flag allocated here.</t>
  </si>
  <si>
    <t>Where the child is subject to a care order or other legal order, this (average) unit cost is added to the full cost of the care episode.  No breakdown of the legal costs is given in the source documentation.  Cost quoted is for Outer London (London costs are likely to be higher due to increased salary costs).</t>
  </si>
  <si>
    <t>SS2.8</t>
  </si>
  <si>
    <t>Case management processes for looked-after children in foster care: transition to leaving care services</t>
  </si>
  <si>
    <t>SS2.9</t>
  </si>
  <si>
    <t>Cost per session of basic core training for foster carers and their families</t>
  </si>
  <si>
    <t>Update to the Cost of Foster Care (Loughborough University, 2010), p.17</t>
  </si>
  <si>
    <t>SS3.0</t>
  </si>
  <si>
    <t>SS3.1</t>
  </si>
  <si>
    <t>SS4.0</t>
  </si>
  <si>
    <t>Average cost of child protection core assessment (overall)</t>
  </si>
  <si>
    <t>Social services</t>
  </si>
  <si>
    <t>The Assessment Framework: A Structured Approach to Assessing Family Capacities and Children’s Needs - research summary (Cleaver et al, 2004)</t>
  </si>
  <si>
    <t>SS4.0.1</t>
  </si>
  <si>
    <t>Average cost of child protection core assessment (cost to social services)</t>
  </si>
  <si>
    <t>SS4.0.2</t>
  </si>
  <si>
    <t>Average cost of child protection core assessment (cost to other agencies)</t>
  </si>
  <si>
    <t>SS4.1</t>
  </si>
  <si>
    <t>Application for Child Protection Section 31 Care Order: overall cost</t>
  </si>
  <si>
    <t>Review of the Childcare Proceedings System in England and Wales (DfES/DCA, 2006)</t>
  </si>
  <si>
    <t>Average cost for Section 31 applications - the source details the approximate breakdown of this cost as: legal aid = c. 60% of total; local authorities’ costs = c.25%; CJS costs = c.5%; CAFCASS costs = c.10%.  These costs are detailed in the constituent rows below.  The cost of accommodating children who will already be living away from home during proceedings (the majority) is not included.  Note that a year for the cost data is not specified in the source, but it has been assumed to be 2005-06, as other relevant data are from this year.  Note age of data - process, and related costings, may have changed over this period.</t>
  </si>
  <si>
    <t>SS4.1.1</t>
  </si>
  <si>
    <t>Application for Child Protection Section 31 Care Order: legal aid costs</t>
  </si>
  <si>
    <t>Constituent cost to above overall cost.  This is the average cost for Section 31 applications, of which the source outlines the cost of legal aid to be approximately 60% of the overall cost (£25,000).  Note that a year for the cost data is not specified in the source, but it has been assumed to be 2005-06, as other relevant data are from this year.  Note age of data - process, and related costings, may have changed over this period.  Legal aid costs should be 100% cashable.</t>
  </si>
  <si>
    <t>SS4.1.2</t>
  </si>
  <si>
    <t>Application for Child Protection Section 31 Care Order: local authority costs</t>
  </si>
  <si>
    <t>Constituent cost to above overall cost.  This is the average cost for Section 31 applications, of which the source outlines the cost to local authorities as approximately 25% of the overall cost (£25,000).  Note that a year for the cost data is not specified in the source, but it has been assumed to be 2005-06, as other relevant data are from this year.  Note age of data - process, and related costings, may have changed over this period.</t>
  </si>
  <si>
    <t>SS4.1.3</t>
  </si>
  <si>
    <t>Application for Child Protection Section 31 Care Order: court costs</t>
  </si>
  <si>
    <t>Constituent cost to above overall cost.  This is the average cost for Section 31 applications, of which the source outlines the cost to the court system to be approximately 5% of the overall cost (£25,000).  Note that a year for the cost data is not specified in the source, but it has been assumed to be 2005-06, as other relevant data are from this year.  Note age of data - process, and related costings, may have changed over this period.</t>
  </si>
  <si>
    <t>SS4.1.4</t>
  </si>
  <si>
    <t>Application for Child Protection Section 31 Care Order: Children and Family Court Advisory and Support Service (CAFCASS) costs</t>
  </si>
  <si>
    <t>Constituent cost to above overall cost.  This is the average cost for Section 31 applications, of which the source outlines the cost to CAFCASS as approximately 10% of the overall cost (£25,000).  Note that a year for the cost data is not specified in the source, but it has been assumed to be 2005-06, as other relevant data are from this year.  Note age of data - process, and related costings, may have changed over this period.</t>
  </si>
  <si>
    <t>SS5.0</t>
  </si>
  <si>
    <t>Extension of the cost calculator to include cost calculations for all children in need (DfE, 2010), p.8</t>
  </si>
  <si>
    <t>SS1.3.4</t>
  </si>
  <si>
    <t>Child taken into care (high cost, for children with emotional or behavioural difficulties and offending behaviour) - cost of finding subsequent placements, for a specific care scenario</t>
  </si>
  <si>
    <t>SS1.3.5</t>
  </si>
  <si>
    <t>Child taken into care (high cost, for children with emotional or behavioural difficulties and offending behaviour) - costs of ceasing being looked after, for a specific care scenario</t>
  </si>
  <si>
    <t>SS1.4</t>
  </si>
  <si>
    <t>Child taken into care: very high cost, for children with disabilities, emotional or behavioural difficulties, and offending behaviour - overall annual cost, for a specific care scenario</t>
  </si>
  <si>
    <t>This is the average annual spend per unit by local authorities on rough sleepers.  It is sourced from Supporting People Local Systems data submitted by local authorities to the Department for Communities and Local Government.  An amber flag has been allocated to reflect local level variation, and the significant methodological and data issues associated with deriving unit costs relating to housing; it also reflects a note in the source report, which comments on derivation of the data and concludes that they should be considered 'illustrative'.  Note that costs associated with rough sleepers should be distinguished from those associated with statutory homelessness - the latter incurs costs to local authorities who have a duty to secure accommodation for people or families who are unintentionally homeless or who fall into a priority need category; there can be few fiscal costs directly relating to rough sleeping, although the indirect costs associated with the consequences of rough sleeping (e.g. health and mental health problems, drug/alcohol misuse, crime) can be significant.</t>
  </si>
  <si>
    <t>HO1.0</t>
  </si>
  <si>
    <t>HO1.0.1</t>
  </si>
  <si>
    <t>HO1.0.2</t>
  </si>
  <si>
    <t>HO1.0.3</t>
  </si>
  <si>
    <t>HO1.0.4</t>
  </si>
  <si>
    <t>HO1.0.5</t>
  </si>
  <si>
    <t>HO1.0.6</t>
  </si>
  <si>
    <t>HO2.0</t>
  </si>
  <si>
    <t>HO2.0.1</t>
  </si>
  <si>
    <t>HO2.0.2</t>
  </si>
  <si>
    <t>HO3.0</t>
  </si>
  <si>
    <t>HO3.0.1</t>
  </si>
  <si>
    <t>HO3.0.2</t>
  </si>
  <si>
    <t>HO3.0.3</t>
  </si>
  <si>
    <t>HO3.0.4</t>
  </si>
  <si>
    <t>HO3.0.5</t>
  </si>
  <si>
    <t>HO4.0</t>
  </si>
  <si>
    <t>HO4.1</t>
  </si>
  <si>
    <t>HO4.2</t>
  </si>
  <si>
    <t>HO4.3</t>
  </si>
  <si>
    <t>HO4.4</t>
  </si>
  <si>
    <t>HO5.0</t>
  </si>
  <si>
    <t>HO5.1</t>
  </si>
  <si>
    <t>HO5.2</t>
  </si>
  <si>
    <t>HO5.3</t>
  </si>
  <si>
    <t>HO6.0</t>
  </si>
  <si>
    <t>HO6.1</t>
  </si>
  <si>
    <t>HO7.0</t>
  </si>
  <si>
    <t>HO7.1</t>
  </si>
  <si>
    <t>HO7.2</t>
  </si>
  <si>
    <t>HO7.3</t>
  </si>
  <si>
    <t>HO7.4</t>
  </si>
  <si>
    <t>HO7.5</t>
  </si>
  <si>
    <t>HO7.6</t>
  </si>
  <si>
    <t>HO7.7</t>
  </si>
  <si>
    <t>HO8.0</t>
  </si>
  <si>
    <t>Six month programme</t>
  </si>
  <si>
    <t>Per six weeks</t>
  </si>
  <si>
    <t>Per person per year</t>
  </si>
  <si>
    <t>Per person</t>
  </si>
  <si>
    <t xml:space="preserve">Per person </t>
  </si>
  <si>
    <t>Per proceeding</t>
  </si>
  <si>
    <t>Per programme</t>
  </si>
  <si>
    <t>Social Services</t>
  </si>
  <si>
    <t>Police</t>
  </si>
  <si>
    <t>ASSESSMENT</t>
  </si>
  <si>
    <t>Per half hour</t>
  </si>
  <si>
    <t>Per transfer</t>
  </si>
  <si>
    <t>Project to Feb 10</t>
  </si>
  <si>
    <t>Connexions Service</t>
  </si>
  <si>
    <t>Education Services</t>
  </si>
  <si>
    <t>Per hour per team member</t>
  </si>
  <si>
    <t>Per child per course</t>
  </si>
  <si>
    <t>Per claimant</t>
  </si>
  <si>
    <t>DWP Work Programme Invitation to Tender, Dec. 2010 (Annex A, p.39)</t>
  </si>
  <si>
    <t>Per intervention per annum</t>
  </si>
  <si>
    <t>Per intervention</t>
  </si>
  <si>
    <t>UNEMPLOYMENT</t>
  </si>
  <si>
    <t>EARNINGS</t>
  </si>
  <si>
    <t>EXCLUSION</t>
  </si>
  <si>
    <t>PUPIL SUPPORT</t>
  </si>
  <si>
    <t>Per home visit</t>
  </si>
  <si>
    <t>Per clinic hour</t>
  </si>
  <si>
    <t>Face to face contact</t>
  </si>
  <si>
    <t>Per user</t>
  </si>
  <si>
    <t>Per FTE</t>
  </si>
  <si>
    <t>Per patient hour</t>
  </si>
  <si>
    <t>Per case</t>
  </si>
  <si>
    <t>Per bed day</t>
  </si>
  <si>
    <t>Per course</t>
  </si>
  <si>
    <t>Per quitter</t>
  </si>
  <si>
    <t>HOMELESSNESS</t>
  </si>
  <si>
    <t>EVICTION</t>
  </si>
  <si>
    <t>NEIGHBOURHOOD DISPUTES</t>
  </si>
  <si>
    <t>NOISE</t>
  </si>
  <si>
    <t>RENT ARREARS</t>
  </si>
  <si>
    <t>Two hours per week</t>
  </si>
  <si>
    <t>Per night</t>
  </si>
  <si>
    <t>Per child</t>
  </si>
  <si>
    <t>Per process</t>
  </si>
  <si>
    <t>Local authority</t>
  </si>
  <si>
    <t>Private sector</t>
  </si>
  <si>
    <t>Misspent Youth (2007)</t>
  </si>
  <si>
    <t>Environmental Services</t>
  </si>
  <si>
    <t>Per call</t>
  </si>
  <si>
    <t>Adult Services</t>
  </si>
  <si>
    <t>Per patient for treatment period</t>
  </si>
  <si>
    <t>Per test</t>
  </si>
  <si>
    <t>Per consultation</t>
  </si>
  <si>
    <t>Per journey</t>
  </si>
  <si>
    <t>Per patient per year</t>
  </si>
  <si>
    <t>Per vaccine</t>
  </si>
  <si>
    <t>Per claimant per year</t>
  </si>
  <si>
    <t>Community Safety Partnership</t>
  </si>
  <si>
    <t>DAAT (Drug &amp; Alcohol Action Teams)</t>
  </si>
  <si>
    <t>JCP</t>
  </si>
  <si>
    <t xml:space="preserve">Benefits </t>
  </si>
  <si>
    <t>Per person per week</t>
  </si>
  <si>
    <t>Department for Work and Pensions Benefit &amp; Pension Rates 11/12 (sourced from DirectGov)</t>
  </si>
  <si>
    <t>Updated cost/saving</t>
  </si>
  <si>
    <t>Agency making the saving lookup</t>
  </si>
  <si>
    <t>GP</t>
  </si>
  <si>
    <t>Per pupil per year</t>
  </si>
  <si>
    <t>The Economic and Social Costs of Anti-Social Behaviour: a review' (London School of Economics and Political Science, 2003), p.43</t>
  </si>
  <si>
    <t>Comment</t>
  </si>
  <si>
    <t>Cost code</t>
  </si>
  <si>
    <t>X-CUTTING</t>
  </si>
  <si>
    <t>Exploration of the costs and impact of the Common Assessment Framework (DfE, 2012)</t>
  </si>
  <si>
    <t>In Loco Parentis (Demos, 2010), Appendix 2</t>
  </si>
  <si>
    <t>Costs and longer-term savings of parenting programmes for the prevention of persistent conduct disorder: a modelling study (Bonin et al, 2011), p.5</t>
  </si>
  <si>
    <t>Per participant</t>
  </si>
  <si>
    <t>CHILD PROTECTION</t>
  </si>
  <si>
    <t>LOOKED AFTER CHILDREN</t>
  </si>
  <si>
    <t>CAFCASS</t>
  </si>
  <si>
    <t>Legal aid</t>
  </si>
  <si>
    <r>
      <rPr>
        <b/>
        <sz val="14"/>
        <color indexed="8"/>
        <rFont val="Arial"/>
        <family val="2"/>
      </rPr>
      <t>3. Constituent costs</t>
    </r>
    <r>
      <rPr>
        <sz val="14"/>
        <color indexed="8"/>
        <rFont val="Arial"/>
        <family val="2"/>
      </rPr>
      <t xml:space="preserve"> (entry in the 'Cost/saving detail' column is indented) - these are the constituent costs from which the 'parent' headline or subsidiary cost is derived.  The constituent costs are opened up using the third level grouping (click the '3' box).</t>
    </r>
  </si>
  <si>
    <t>Department for Education</t>
  </si>
  <si>
    <t>LABOUR COSTS PER HOUR</t>
  </si>
  <si>
    <t>CHILDREN IN NEED</t>
  </si>
  <si>
    <t>Cost Database - Lookups</t>
  </si>
  <si>
    <t>OBESITY</t>
  </si>
  <si>
    <t>Alcohol Use Disorders: diagnosis, assessment and management of harmful drinking and alcohol dependence (NICE Clinical Practice Guidance 115), p.408</t>
  </si>
  <si>
    <t>Alcohol misuse - estimated annual cost to the NHS of alcohol dependency, per year per dependent drinker</t>
  </si>
  <si>
    <t>Primary Care Trust / Clinical Commissioning Group</t>
  </si>
  <si>
    <t>Per attendance</t>
  </si>
  <si>
    <t>This is the average cost of social care provision for people sustaining a hip fracture.  The source indicates that the cost is incurred over an average two year period per hip fracture.  Note that more affluent individuals will pay for some/all of their care costs - a range of proportions are quoted, but one source (the Department of Health's Dementia Care Commissioning Toolkit) suggests allocating two-thirds of residential care costs to local authorities, and the remaining third to individual self-funders.  Depending on how you are using the data, you may want to apply these proportions to the unit cost quoted here - e.g. if apportioning the unit cost by agency, or splitting out the fiscal (local authority) and economic (individual self-funder) elements.  Little detail is given in the source, which is relatively old, and costs quoted in other sources vary considerably, hence the amber flag allocated here.</t>
  </si>
  <si>
    <t>Jobseekers Allowance (JSA) is the main benefit for people who are out of work and seeking employment. There are two types - income-based (if the claimant does not have sufficient National Insurance contributions, but is on a low income), or contribution-based (if the claimant has paid sufficient National Insurance Class 1 contributions over the preceding two years).  This is the weekly income-based payment for couples who are both claiming and are aged 18 and over.</t>
  </si>
  <si>
    <t>Job Seeker's Allowance 
Income-based allowance - couple both 18 or over</t>
  </si>
  <si>
    <t>E&amp;E8.0</t>
  </si>
  <si>
    <t>Fee is £600 for ESA flow and ESA ex-IB claimants</t>
  </si>
  <si>
    <t>Maximum payment is £1,200 (£3,500 for ESA ex-IB claimants)</t>
  </si>
  <si>
    <t>Maximum payment is £9,620 (markedly different for different groups)</t>
  </si>
  <si>
    <t>To keep getting Jobseeker's Allowance (JSA) or National Insurance (NI) contribution credits, claimants normally have to attend a Jobcentre every two weeks to 'sign on'.  Part of this process is designed to ensure they have been looking for work by reviewing their job search activity.  The quoted data include arranging reviews, talking with claimants about what they have done to look for work, identifying any additional support needed, referring to vacancies, referring to Advisers, and maintaining the individual's job search record; they exclude any action arising during the review that relates to benefit, such as taking signatures or a change in circumstances (see subsidiary cost above).</t>
  </si>
  <si>
    <t>New claims involve several interactions with the applicant and third parties, such as medical professionals, to, for example, arrange and undertake medicals, assemble evidence to validate identity and eligibility in line with benefit regulations and fraud avoidance strategies, issue National Insurance numbers if the applicant does not have one, and deal with any appeals against the decisions made.  The quoted data represent the total cost for all aspects of processing an application up to the point that payments commence, but exclude the ongoing costs of maintaining a claim after this point (see subsidiary cost below).</t>
  </si>
  <si>
    <t>Unit Costs of Health and Social Care 2011 (Curtis, 2011), p.93</t>
  </si>
  <si>
    <t>Attendance Allowance is a regular payment for people who need help with personal care because they are physically or mentally disabled and are aged 65 or over.  It is paid weekly at 2 different rates, depending on the level of help needed by the claimant. It is paid weekly at 2 different rates, depending on the level of help needed by the claimant.  The lower rate is paid for people requiring frequent help or constant supervision during the day, or supervision at night</t>
  </si>
  <si>
    <t>Employment and Support Allowance
Cost of processing each new claim for ESA</t>
  </si>
  <si>
    <t>Employment and Support Allowance
Cost of maintaining claims</t>
  </si>
  <si>
    <t>Income Support
Cost of maintaining claims</t>
  </si>
  <si>
    <t>Income Support
Fiscal benefit from a workless claimant entering work - benefits payments</t>
  </si>
  <si>
    <t>Income Support
Fiscal benefit from a workless claimant entering work - improved health</t>
  </si>
  <si>
    <t>Unit Costs of Health &amp; Social Care 2013 (Curtis, 2013), p.114</t>
  </si>
  <si>
    <t>cba@neweconomymanchester.com</t>
  </si>
  <si>
    <t>ALL CRIME</t>
  </si>
  <si>
    <r>
      <rPr>
        <sz val="10"/>
        <rFont val="Arial"/>
        <family val="2"/>
      </rPr>
      <t>Incapacity Benefit (HISTORIC)
Under state pension age short term higher rate</t>
    </r>
  </si>
  <si>
    <r>
      <rPr>
        <sz val="10"/>
        <rFont val="Arial"/>
        <family val="2"/>
      </rPr>
      <t>Incapacity Benefit (HISTORIC)
Under state pension age short term lower rate</t>
    </r>
  </si>
  <si>
    <r>
      <rPr>
        <sz val="10"/>
        <rFont val="Arial"/>
        <family val="2"/>
      </rPr>
      <t>Incapacity Benefit (HISTORIC)
Interview costs per session</t>
    </r>
  </si>
  <si>
    <r>
      <rPr>
        <sz val="10"/>
        <rFont val="Arial"/>
        <family val="2"/>
      </rPr>
      <t>Job Seeker's Allowance 
Cost of processing each new claim for JSA</t>
    </r>
  </si>
  <si>
    <t>Work Programme (HISTORIC)
Job outcome fee</t>
  </si>
  <si>
    <t>Work Programme (HISTORIC)
Maximum sustainment payment</t>
  </si>
  <si>
    <t>Work Programme (HISTORIC)
Attachment fee (fixed payment)</t>
  </si>
  <si>
    <t>E&amp;E2.0.1</t>
  </si>
  <si>
    <t>E&amp;E2.0.2</t>
  </si>
  <si>
    <t>E&amp;E2.10</t>
  </si>
  <si>
    <t>E&amp;E5.3</t>
  </si>
  <si>
    <t>Income Support: 
Single - 25 or over (or lone parent 18 or over)</t>
  </si>
  <si>
    <t>Income Support: 
Couple - both under 18</t>
  </si>
  <si>
    <t>Income Support: 
Couple - one under 18, one 25 or over</t>
  </si>
  <si>
    <t>Income Support: 
Couple - both 18 or over</t>
  </si>
  <si>
    <t>SS17.0</t>
  </si>
  <si>
    <t>Multi-Systemic Therapy (MST) - cost per therapy session</t>
  </si>
  <si>
    <t>Social worker - adult services: cost per hour, with qualification costs</t>
  </si>
  <si>
    <t>Social worker - adult services: cost per hour, without qualification costs</t>
  </si>
  <si>
    <t>Social worker - children's services: cost per hour, with qualification costs</t>
  </si>
  <si>
    <t>Social worker - children's services: cost per hour, without qualification costs</t>
  </si>
  <si>
    <t>Social work team leader/senior practitioner/senior social worker: cost per hour, with qualification costs</t>
  </si>
  <si>
    <t>Social work team leader/senior practitioner/senior social worker: cost per hour, without qualification costs</t>
  </si>
  <si>
    <t>Social Work Assistant - cost per hour</t>
  </si>
  <si>
    <t>This is the cost per hour for a Social Work Assistant, calculated pro-rata from data on mean salary and working hours, on-costs (national insurance, pensions), overheads (administration, management, office, training, utilities, general management and support services such as finance and HR) and capital costs.  The data are national averages - multipliers are provided, for use in calculating average costs for London and out-of-London.</t>
  </si>
  <si>
    <t>Local Authority Home Care Worker - cost per hour</t>
  </si>
  <si>
    <t>Local Authority Community Occupational Therapist - cost per hour, including training costs</t>
  </si>
  <si>
    <t>Local Authority Community Occupational Therapist - cost per hour, excluding training costs</t>
  </si>
  <si>
    <t>Family Support Worker - cost per hour</t>
  </si>
  <si>
    <t>Approved Social Worker, Mental Health - cost per hour, with qualification costs</t>
  </si>
  <si>
    <t>Unit Costs of Health and Social Care 2011 (Curtis, 2011), p.159</t>
  </si>
  <si>
    <t>Approved Social Worker, Mental Health - cost per hour, without qualification costs</t>
  </si>
  <si>
    <t>Fiscal Cost</t>
  </si>
  <si>
    <t>CR1.0</t>
  </si>
  <si>
    <t>Anti-social behaviour
further action necessary 
(cost of dealing with incident)</t>
  </si>
  <si>
    <t>CR1.1</t>
  </si>
  <si>
    <t>Anti-social behaviour
no further action taken 
(simple police reporting of incident)</t>
  </si>
  <si>
    <t>CR1.2</t>
  </si>
  <si>
    <t>Anti-social behaviour
warning letter delivered</t>
  </si>
  <si>
    <t>National Audit Office (2006) Tackling Anti-Social Behaviour p24 Fig13</t>
  </si>
  <si>
    <t>Warning letters are generally used for relatively minor acts of anti-social behaviour and are unlikely to be effective for more serious incidents.</t>
  </si>
  <si>
    <t>Acceptable Behaviour Contract issued</t>
  </si>
  <si>
    <t>Note age of data.  Based on seminars in 12 local areas involving practitioners from a range of agencies including the police and local authorities. The cost does not include the cost of other support services which may be provided in conjunction with the intervention e.g. youth projects or drug rehabilitation schemes, nor does it include the cost of policing the intervention. Court costs are included but legal aid costs are not.</t>
  </si>
  <si>
    <t>Neighbourhood dispute: Local Authority mediation - average costs</t>
  </si>
  <si>
    <t>Scottish Executive (2003): The role of mediation in tackling neighbourhood disputes and anti-social behaviour</t>
  </si>
  <si>
    <t>Neighbourhood dispute: Local Authority mediation - Verbal abuse</t>
  </si>
  <si>
    <t>Neighbourhood dispute: Local Authority mediation - Noise (including element of verbal abuse)</t>
  </si>
  <si>
    <t>Neighbourhood dispute: Local Authority mediation - Common boundary dispute</t>
  </si>
  <si>
    <t>CR2.0</t>
  </si>
  <si>
    <t>CR2.0.1</t>
  </si>
  <si>
    <t>CR2.0.2</t>
  </si>
  <si>
    <t>CR2.0.3</t>
  </si>
  <si>
    <t>CR2.0.4</t>
  </si>
  <si>
    <t>CR3.0</t>
  </si>
  <si>
    <t>Unit cost for provision of information, advice and support to jobseekers by Jobcentre Plus Advisers.  Advisers provide support not just to clients on Job Seekers Allowance, but also those in receipt of other benefits like Employment and Support Allowance and Income Support.  Interventions may last from a few minutes to over an hour, with costs covering arranging appointments, issuing invitations, conducting the interviews, referring to vacancies, following up and maintaining the person's labour market record.  They also include advising about and referring to Labour Market programmes such as the Work Programme, Access to Work and training programmes, but not the cost of the programmes themselves.</t>
  </si>
  <si>
    <t>Attendance Allowance
Higher rate</t>
  </si>
  <si>
    <t>Attendance Allowance
Lower rate</t>
  </si>
  <si>
    <t>E&amp;E8.1</t>
  </si>
  <si>
    <t>E&amp;E8.2</t>
  </si>
  <si>
    <t>Attendance Allowance
Cost of maintaining claims</t>
  </si>
  <si>
    <t>Attendance Allowance is a regular payment for people who need help with personal care because they are physically or mentally disabled and are aged 65 or over.  It is paid weekly at 2 different rates, depending on the level of help needed by the claimant.  The higher rate is paid for people requiring help or supervision throughout both day and night, or who are terminally ill.</t>
  </si>
  <si>
    <t>The source quotes the median cost, as the range of values derived from local authorities was wide (£355 - £1,441), and the mean (£531) was distorted by the wide range.  The source also provides an annuitised cost (and gives information on how this has been derived) - the median annual equipment cost for a low level bath is £79.  The original data are old, but the source comments that they have been substantiated by cross-referencing with more recent costs.</t>
  </si>
  <si>
    <t>Job Search Reviews - signing on
Cost per customer</t>
  </si>
  <si>
    <t>Job Seeker's Allowance
Cost of maintaining claims</t>
  </si>
  <si>
    <t>New claims involve several interactions with the applicant and third parties such as ex-employers to, for example, assemble evidence to validate identity and eligibility in line with benefit regulations and fraud avoidance strategies, issue national insurance numbers if the applicant does not have one, and deal with any appeals against the decisions made.  The quoted data include the total cost for all aspects of processing an application up to the point that payments commence, but exclude the ongoing costs of maintaining the claim after this point (see above subsidiary cost).</t>
  </si>
  <si>
    <t>Disability Living Allowance
Cost of processing each new claim for DLA</t>
  </si>
  <si>
    <t>New claims involve several interactions with the applicant and third parties such as medical staff to, for example, assemble evidence to validate identity and eligibility in line with benefit regulations and fraud avoidance strategies, issue national insurance numbers if the applicant does not have one, and deal with any appeals against the decisions made.  The quoted data cover the total cost for all aspects of processing an application up to the point that payments commence, but exclude the ongoing costs of maintaining the claim (see above subsidiary cost).</t>
  </si>
  <si>
    <t>Employment and Support Allowance 
Claimants aged under 25 - maximum payment</t>
  </si>
  <si>
    <t>Employment and Support Allowance 
Claimants aged 25 and over - maximum payment</t>
  </si>
  <si>
    <t>ESA claimants under 25 years old receive up to this sum for 13 weeks after their initial claim; they then progress to either the work-related activity group or the support group (see related subsidiary costs).</t>
  </si>
  <si>
    <t>ESA claimants aged 25 years old and above receive up to this sum for 13 weeks after their initial claim; they then progress to either the work-related activity group or the support group (see related subsidiary costs).</t>
  </si>
  <si>
    <t>Employment and Support Allowance 
Work-related activity group</t>
  </si>
  <si>
    <t>Case management processes for looked-after children in foster care: maintaining the placement (per month)</t>
  </si>
  <si>
    <t>Cost comprises social care activity in supporting the placement and the fee or allowance paid for the placement (no breakdown is given in the source documentation).  Note that this is an on-going, monthly cost.  Cost quoted is for Outer London (London costs are likely to be higher due to increased salary costs).  The sources also quotes monthly costs for other types of placement: £763 for placed with parents; £1,914 for kinship care; £14,662 for residential unit; £5,952 for agency foster care placement within local authority area; £2,848 for independence.</t>
  </si>
  <si>
    <t>SS2.4</t>
  </si>
  <si>
    <t>Case management processes for looked-after children in foster care: exit from care or accommodation</t>
  </si>
  <si>
    <t>SS2.5</t>
  </si>
  <si>
    <t>Case management processes for looked-after children in foster care: finding a subsequent placement</t>
  </si>
  <si>
    <t>Cost quoted is for Outer London (London costs are likely to be higher due to increased salary costs).  The source also quotes unit costs for finding other types of subsequent placement: £506 if a residential placement is sought; £786 if a child is placed with agency foster carers outside the local authority area.  If a child has emotional or behavioural difficulties and also has either a disability or has had three or more placements in the preceding 12 months, he/she is classified as ‘difficult to place’ and additional costs are incurred in finding a placement: £471 for foster care and £628 in residential care.</t>
  </si>
  <si>
    <t>SS2.6</t>
  </si>
  <si>
    <t>Case management processes for looked-after children in foster care: review</t>
  </si>
  <si>
    <t>Note that it is a statutory requirement to review all looked after children at least every six months.  Cost quoted is for Outer London (London costs are likely to be higher due to increased salary costs).</t>
  </si>
  <si>
    <t>SS2.7</t>
  </si>
  <si>
    <t>Case management processes for looked-after children in foster care: legal processes</t>
  </si>
  <si>
    <t>Housing Benefit - average weekly award, social rented sector, local authority tenants</t>
  </si>
  <si>
    <t>Housing Benefit - average weekly award, social rented sector, Registered Social Landlord (Registered Provider) tenants</t>
  </si>
  <si>
    <t>Fiscal savings to the NHS from the delivery of school-based emotional learning programmes, per child over a 10 year period</t>
  </si>
  <si>
    <t>The source provides a number of scenarios for children with different needs/circumstances (costs for the other scenarios are also provided in this database).  This is a 'low cost' scenario, for a child with no additional support needs (the source states that 27% of the original sample used to derive the cost had no additional support needs).  The scenario on which the cost is based, as outlined in the source, is for a child placed with the same foster parents for eight years before leaving care, with reviews and an up-dated care plan every six months, and some educational/health expenditure (this is detailed in the report, but is not documented here as the focus is on cost to local authority social services).  Note that the source data covers an 87-week period; this has been adapted to develop an annual cost, using the constituent costs detailed below (see the individual entries for information on the source data and how an annual cost has been derived from them).  Note also that although detailed as a 'low cost' scenario, the total cost is higher than the equivalent 'median cost' scenario (see SS1.2).</t>
  </si>
  <si>
    <t>SS1.1.1</t>
  </si>
  <si>
    <t>Child taken into care (low cost, for children with no additional support needs) - annual cost of care planning, for a specific care scenario</t>
  </si>
  <si>
    <t>Constituent cost to the above, which represents the lowest cost of a number of scenarios presented in the source (and reproduced in this database), which cover children with a range of needs/circumstances.  The scenario on which the cost is based, as outlined in the source, is for a child placed with the same foster parents for eight years before leaving care, with reviews and an up-dated care plan every six months, and some educational/health expenditure.  The annual cost has been derived from data for an 87-week period, within which the care plan was updated three times - assumed that this will happen twice in a single year, hence cost is two-thirds of original (un-updated) figure of £412.</t>
  </si>
  <si>
    <t>SS1.1.2</t>
  </si>
  <si>
    <t>SS5.0.4</t>
  </si>
  <si>
    <t>SS5.0.5</t>
  </si>
  <si>
    <t>SS5.0.6</t>
  </si>
  <si>
    <t>SS5.0.7</t>
  </si>
  <si>
    <t>SS5.0.8</t>
  </si>
  <si>
    <t>SS6.0</t>
  </si>
  <si>
    <t>Common Assessment Framework: cost per CAF over a six month period (overall mean cost)</t>
  </si>
  <si>
    <t>Costs ranged between £743 and £2,130 for the six month time period, varying according to the needs of the children, the type of professional undertaking the CAF processes, and the recording system used within the local authority.  Costs are related to all aspects associated with the CAF including: the CAF assessment, the Team Around the Child (TAC) or Team Around the Family (TAF) approach to supporting children and families, and the role of the Lead Professional (LP).  A bottom-up costing methodology was used (data sourced from focus groups, surveys and publicly available information), drawing on 'time use activity data’ and linking these to salaries and overhead costs in order to calculate unit costs.</t>
  </si>
  <si>
    <t>SS6.0.1</t>
  </si>
  <si>
    <t>Common Assessment Framework: intention to complete a CAF (mean costs per CAF, for all professionals)</t>
  </si>
  <si>
    <t>Constituent cost to SS1 (see above comment).  Out of London costs are quoted here; London cost is £25 (not updated - enter this in column M to get the current cost).</t>
  </si>
  <si>
    <t>SS6.0.2</t>
  </si>
  <si>
    <t>Common Assessment Framework: completion of CAF assessment (mean costs per CAF, for all professionals)</t>
  </si>
  <si>
    <t>Constituent cost to SS1 (see above comment).  Out of London costs are quoted here; London cost is £253 (not updated - enter this in column M to get the current cost).</t>
  </si>
  <si>
    <t>SS6.0.3</t>
  </si>
  <si>
    <t>Common Assessment Framework: initial Team Around the Child (TAC) (mean costs per CAF, for all professionals)</t>
  </si>
  <si>
    <t>Constituent cost to SS1 (see above comment).  Out of London costs are quoted here; London cost is £245 (not updated - enter this in column M to get the current cost).</t>
  </si>
  <si>
    <t>SS6.0.4</t>
  </si>
  <si>
    <t>Common Assessment Framework: subsequent Team Around the Child (TAC) (mean costs per CAF, for all professionals)</t>
  </si>
  <si>
    <t>Constituent cost to SS1 (see above comment).  Out of London costs are quoted here; London cost is £226 (not updated - enter this in column M to get the current cost).</t>
  </si>
  <si>
    <t>SS6.0.5</t>
  </si>
  <si>
    <r>
      <t xml:space="preserve">Common Assessment Framework: ongoing support (mean costs per CAF, for all professionals, </t>
    </r>
    <r>
      <rPr>
        <i/>
        <sz val="10"/>
        <rFont val="Arial"/>
        <family val="2"/>
      </rPr>
      <t>per month</t>
    </r>
    <r>
      <rPr>
        <sz val="10"/>
        <rFont val="Arial"/>
        <family val="2"/>
      </rPr>
      <t>)</t>
    </r>
  </si>
  <si>
    <t>Constituent cost to SS1 (see above comment).  Cost is quoted per month, contributing to the overall mean cost per CAF over a six month period.  Users can adjust this to suit their local timescales/periods for which they want costings.  Out of London costs are quoted here; London cost is also given as £165 (not updated), which may be an error in the source data.</t>
  </si>
  <si>
    <t>SS6.0.6</t>
  </si>
  <si>
    <t>Common Assessment Framework: close CAF (mean costs per CAF, for all professionals)</t>
  </si>
  <si>
    <t>Constituent cost to SS1 (see above comment).  Out of London costs are quoted here; London cost is £93 (not updated - enter this in column M to get the current cost).</t>
  </si>
  <si>
    <t>SS6.1</t>
  </si>
  <si>
    <t>Children's Social Care - initial contact</t>
  </si>
  <si>
    <t>Unit Costs of Health and Social Care 2011 (Curtis, 2011), p.18</t>
  </si>
  <si>
    <t>Based upon an average social worker time input of 49 minutes per initial contact, and an additional input from the team manager of 30 minutes.  However, the source states that the reported time spent by social workers on initial contacts ranged from 15 minutes to just over three hours.</t>
  </si>
  <si>
    <t>SS6.2</t>
  </si>
  <si>
    <t>Children's Social Care - referral</t>
  </si>
  <si>
    <t>HE16.0</t>
  </si>
  <si>
    <t>HE17.0</t>
  </si>
  <si>
    <t>HE18.0</t>
  </si>
  <si>
    <t>HE19.0</t>
  </si>
  <si>
    <t>HE20.0</t>
  </si>
  <si>
    <t>HE21.0</t>
  </si>
  <si>
    <t>HE22.0</t>
  </si>
  <si>
    <t>HE23.0</t>
  </si>
  <si>
    <t>HE24.0</t>
  </si>
  <si>
    <t>HE2.0.1</t>
  </si>
  <si>
    <t>HE2.0.2</t>
  </si>
  <si>
    <t>HE2.0.3</t>
  </si>
  <si>
    <t>HE2.1.1</t>
  </si>
  <si>
    <t>HE2.1.2</t>
  </si>
  <si>
    <t>HE11.0.1</t>
  </si>
  <si>
    <t>HE11.0.2</t>
  </si>
  <si>
    <t>HE11.1.1</t>
  </si>
  <si>
    <t>HE11.1.2</t>
  </si>
  <si>
    <t>HE11.1.3</t>
  </si>
  <si>
    <t>HE11.2.1</t>
  </si>
  <si>
    <t>HE11.2.2</t>
  </si>
  <si>
    <t>HE11.2.3</t>
  </si>
  <si>
    <t>HE11.3.1</t>
  </si>
  <si>
    <t>HE11.3.2</t>
  </si>
  <si>
    <t>HE11.4.1</t>
  </si>
  <si>
    <t>HE11.4.2</t>
  </si>
  <si>
    <t>HE11.5.1</t>
  </si>
  <si>
    <t>HE11.5.2</t>
  </si>
  <si>
    <t>HE11.5.3</t>
  </si>
  <si>
    <t>HE11.6.1</t>
  </si>
  <si>
    <t>HE11.6.2</t>
  </si>
  <si>
    <t>HE11.9.1</t>
  </si>
  <si>
    <t>HE11.9.2</t>
  </si>
  <si>
    <t>HE12.2.1</t>
  </si>
  <si>
    <t>HE12.3.1</t>
  </si>
  <si>
    <t>HE12.4.1</t>
  </si>
  <si>
    <t>HE12.5.1</t>
  </si>
  <si>
    <t>HE13.0.1</t>
  </si>
  <si>
    <t>HE13.0.2</t>
  </si>
  <si>
    <t>HE13.0.3</t>
  </si>
  <si>
    <t>HE13.1.1</t>
  </si>
  <si>
    <t>HE13.1.2</t>
  </si>
  <si>
    <t>HE13.1.3</t>
  </si>
  <si>
    <t>Cost per offender per year - National Audit Office analysis, based on CIPFA, Home Office, Ministry of Justice and Youth Justice Board data from 2008.  Calculated the unit cost of offender management teams, for over-18s, based on the total expenditure of probation staff in 2008-09, adjusted to exclude indirect time, such as training, and divided by the number of over-18s convicted in court in 2008.</t>
  </si>
  <si>
    <t>Neighbourhood dispute: Local Authority mediation - Noise &amp; Loud music related to parties</t>
  </si>
  <si>
    <t>FI1.0</t>
  </si>
  <si>
    <t>FI1.0.1</t>
  </si>
  <si>
    <t>FI1.0.2</t>
  </si>
  <si>
    <t>FI1.0.3</t>
  </si>
  <si>
    <t>FI1.0.4</t>
  </si>
  <si>
    <t>FI1.0.5</t>
  </si>
  <si>
    <t>FI1.0.6</t>
  </si>
  <si>
    <t>FI2.0</t>
  </si>
  <si>
    <t>FI2.1</t>
  </si>
  <si>
    <t>FI2.2</t>
  </si>
  <si>
    <t>FI3.0</t>
  </si>
  <si>
    <t>FI4.0</t>
  </si>
  <si>
    <t>FI5.0</t>
  </si>
  <si>
    <t>FI6.0</t>
  </si>
  <si>
    <t>FI7.0</t>
  </si>
  <si>
    <t>Average fiscal cost of a complex eviction</t>
  </si>
  <si>
    <t>Cost of writing off rent arrears</t>
  </si>
  <si>
    <t>Ongoing cost of temporary accommodation (private rented sector) whilst homelessness decision made</t>
  </si>
  <si>
    <t>Research briefing: Immediate costs to government of loss of home (Shelter, 2012), p.6</t>
  </si>
  <si>
    <t>Average fiscal cost of a simple repossession</t>
  </si>
  <si>
    <t>Research briefing: Immediate costs to government of loss of home (Shelter, 2012), p.5</t>
  </si>
  <si>
    <t>Prevention of homelessness through a homelessness prevention or housing options scheme</t>
  </si>
  <si>
    <t>Application for Local Housing Allowance</t>
  </si>
  <si>
    <t>Per application</t>
  </si>
  <si>
    <t>Research briefing: Immediate costs to government of loss of home (Shelter, 2012), p.7</t>
  </si>
  <si>
    <t>Ongoing cost of temporary accommodation (bed and breakfast, family) whilst homelessness decision made</t>
  </si>
  <si>
    <t>Administration cost associated with new letting (following acceptance of homelessness application)</t>
  </si>
  <si>
    <t>Ministry of Justice</t>
  </si>
  <si>
    <t>This measure comprises the process costs associated with providing advice, support and assistance through a homelessness prevention or housing options scheme, and which results in homelessness being prevented or relieved (note that this does not preclude loss of the original home).</t>
  </si>
  <si>
    <t>This  comprises the average cost to a local authority of administering a decision on a homelessness application.</t>
  </si>
  <si>
    <t>Temporary accommodation - average weekly cost of housing a homeless household in hostel accommodation</t>
  </si>
  <si>
    <t>Temporary accommodation - average weekly cost of housing a homeless household in bed and breakfast accommodation</t>
  </si>
  <si>
    <t>Temporary accommodation - average weekly cost of housing a homeless household in temporary accommodation using stock belonging to the local authority</t>
  </si>
  <si>
    <t>Temporary accommodation - average weekly cost of housing a homeless household in temporary accommodation using stock belonging to a Registered Provider (e.g. Housing Association)</t>
  </si>
  <si>
    <t>Temporary accommodation - average weekly cost of housing a homeless household in temporary accommodation using stock belonging to a private landlord</t>
  </si>
  <si>
    <t>Administrative costs of eviction</t>
  </si>
  <si>
    <t>This comprises the administrative costs associated with an eviction;  it does not include the costs of preparing a property for re-letting.</t>
  </si>
  <si>
    <t>Per scheme</t>
  </si>
  <si>
    <t>Cost of housing advice funded through the Legal Services Commission</t>
  </si>
  <si>
    <t>Cost of Court Desk advice on housing (funded by the Legal Services Commission)</t>
  </si>
  <si>
    <t>Research briefing: Immediate costs to government of loss of home (Shelter, 2012), p.4</t>
  </si>
  <si>
    <t>Cost of securing a new private tenancy through a rent deposit/guarantee scheme</t>
  </si>
  <si>
    <t>Cost of re-letting property post-eviction</t>
  </si>
  <si>
    <t>Housing Benefit - average weekly award, across all tenure types</t>
  </si>
  <si>
    <t>Housing Benefit - average weekly award, social rented sector</t>
  </si>
  <si>
    <t>Persistent truancy - total fiscal cost of persistent truancy (missing at least five weeks of school per year), per individual per effective year</t>
  </si>
  <si>
    <t>Persistent truancy (missing at least five weeks of school per year) - provision of alternative education, per individual per effective year (see comments)</t>
  </si>
  <si>
    <t>Note age of data.   Assumes that the cost to the education welfare system is only felt over two years when the child is 11 and 12. Per annum figure cited in NPC report.</t>
  </si>
  <si>
    <t>Persistent truancy (missing at least five weeks of school per year) - health, per individual per effective year (see comments)</t>
  </si>
  <si>
    <t>Persistent truancy (missing at least five weeks of school per year) - crime, per individual per effective year (see comments)</t>
  </si>
  <si>
    <t xml:space="preserve">Note age of data.  Per effective year figure is based on BMJ study 18 years costs, i.e. the total effective lifetime figure divided by 16. </t>
  </si>
  <si>
    <t>Persistent truancy (missing at least five weeks of school per year) - Social Services, per individual per effective year (see comments)</t>
  </si>
  <si>
    <t>Note age of data.  GM CBA model social costs covered elsewhere so figure excluded from truancy cost line.   Data here takes the cost of residential and foster care from the BMJ study. As for health and crime costs, we take the group with conduct problems as a proxy for truants. This totalled an extra £1,967 between the ages of 10 and 16 in 2005 prices.</t>
  </si>
  <si>
    <t xml:space="preserve">Note age of data.  Per effective year figure is based on BMJ study, 18 years costs, i.e. the total effective lifetime figure divided by 16. </t>
  </si>
  <si>
    <t>School-based emotional learning programme - cost of delivery, per child per year</t>
  </si>
  <si>
    <t>Per child per year</t>
  </si>
  <si>
    <t>Mental Health Promotion and Mental Illness Prevention: the economic case (Knapp et al, 2011), p.9</t>
  </si>
  <si>
    <t>This is the cost per child per year of delivering a school-based emotional learning programme (SEL), and includes the cost of teacher training, programme coordinator and materials.  SEL programmes are designed to help address conduct problems in childhood; such problems lead to significant longer-term costs relating to adverse outcomes such as increased risk of criminal activity, fewer school qualifications, parenthood at a young age, unemployment, divorce or separation, substance abuse, and psychiatric disorders.  The programmes help children and young people to recognise and manage emotions, set and achieve positive goals, appreciate the perspectives of others, establish and maintain positive relationships, make responsible decisions and handle interpersonal situations constructively.  Participants can demonstrate significantly improved social and emotional skills, attitudes, behaviour, and academic performance.  See the related subsidiary measure and constituent costs (below) for data on the fiscal savings estimated to be derived from delivery of SEL programmes.</t>
  </si>
  <si>
    <t>BIS (2011): The Returns to Higher Education Qualifications p15 to 16</t>
  </si>
  <si>
    <r>
      <t xml:space="preserve">Apprenticeship - Engineering (Level 3) </t>
    </r>
    <r>
      <rPr>
        <sz val="10"/>
        <rFont val="Arial"/>
        <family val="2"/>
      </rPr>
      <t xml:space="preserve">
Trainee product/benefit (per annum)</t>
    </r>
  </si>
  <si>
    <t>Average annual cost of telehealth provision per participant</t>
  </si>
  <si>
    <t>Process costs involved in concluding a local authority's statutory homelessness duty, following re-housing of the client</t>
  </si>
  <si>
    <t>SCHOOL READINESS</t>
  </si>
  <si>
    <t>School readiness - fiscal savings associated with improved school readiness on entry to reception year (age 4-5)</t>
  </si>
  <si>
    <t>Derived from DfE (2013): Illustrative Examples: Constructing the Notional SEN Budget for a Mainstream School or Academy</t>
  </si>
  <si>
    <t>Update entries taken from the Personal Social Services Expenditure and Unit Costs publication to provide new values from the 2013-4 publication</t>
  </si>
  <si>
    <t>Average annual cost of telehealth provision per participant - equipment costs</t>
  </si>
  <si>
    <t>HE25.0.2</t>
  </si>
  <si>
    <t>Average annual cost of telehealth provision per participant - support package costs</t>
  </si>
  <si>
    <t>This is the average annual cost per participant for the support package element of a telehealth intervention; note that it excludes equipment costs, which are detailed in the constituent cost above and contribute to the related headline cost.  It is derived from a research study into national Whole System Demonstrator pilots, and is based on a range of different types of telehealth intervention.  The source notes that data were collected from only three sites, so the extent to which the costs can be generalised beyond these sites should be considered - for this reason, an amber flag has been allocated.</t>
  </si>
  <si>
    <t>This is the average annual cost per participant of the equipment typically used in a telehealth intervention; note that it excludes support costs, which are detailed in the constituent cost below and contribute to the related headline cost.  It is derived from a research study into national Whole System Demonstrator pilots, and is based on a range of different types of telehealth intervention.  The source notes that data were collected from only three sites, so the extent to which the costs can be generalised beyond these sites should be considered - for this reason, an amber flag has been allocated.</t>
  </si>
  <si>
    <t>Average annual cost of telecare provision per participant - equipment costs</t>
  </si>
  <si>
    <t>This is the average annual cost per participant of the equipment typically used in a telecare intervention; note that it excludes support costs, which are detailed in the constituent cost below and contribute to the related headline cost.  It is derived from a research study into national Whole System Demonstrator pilots, and is based on a range of different types of telecare intervention.  The source notes that data were collected from only three sites, so the extent to which the costs can be generalised beyond these sites should be considered - for this reason, an amber flag has been allocated.</t>
  </si>
  <si>
    <t>Average annual cost of telecare provision per participant - support package costs</t>
  </si>
  <si>
    <t>This is the average annual cost per participant for the support package element of a telecare intervention; note that it excludes equipment costs, which are detailed in the constituent cost above and contribute to the related headline cost.  It is derived from a research study into national Whole System Demonstrator pilots, and is based on a range of different types of telecare intervention.  The source notes that data were collected from only three sites, so the extent to which the costs can be generalised beyond these sites should be considered - for this reason, an amber flag has been allocated.</t>
  </si>
  <si>
    <t>Provisional (lower) costs for 2010-11 also available.  Includes administrative expenditure on pay and staff pension costs, current expenditure on goods and services, and capital depreciation.  Excludes one-off expenditure (cost of investment and other one-off charges).  Direct and apportioned indirect costs are included, such as staff, IT, estates, management and corporate support costs</t>
  </si>
  <si>
    <t>E&amp;E1.2</t>
  </si>
  <si>
    <t>E&amp;E1.3</t>
  </si>
  <si>
    <t>E&amp;E1.4</t>
  </si>
  <si>
    <t>E&amp;E1.5</t>
  </si>
  <si>
    <t>E&amp;E1.6</t>
  </si>
  <si>
    <t>E&amp;E1.7</t>
  </si>
  <si>
    <t>E&amp;E1.8</t>
  </si>
  <si>
    <t>E&amp;E1.9</t>
  </si>
  <si>
    <t>This is the average fiscal cost per incident of domestic violence (DV) falling to local authority housing services.  It comprises the following constituent elements per incident: refuges/emergency accommodation, £44; Housing Benefit paid to DV victims accepted as homeless, £32; temporary housing provided to those registered as homeless due to DV, £29; setting up new homes met by Community Care awards, £5 (all at 08-09 prices).  It excludes average costs per incident falling to individual victims related to setting up new homes/re-possession following divorce and separation due to DV (£24, also at 08-09 prices), which are economic rather than fiscal costs (see the economic cost and comment cell for the headline entry above).  Also see the comments cell for the headline entry above for information on how the costs have been derived, source details, and wider economic and social costs; it also explains why an amber flag has been applied to the quoted cost.</t>
  </si>
  <si>
    <t xml:space="preserve">Note age of data.  The per year figure is based on BMJ study 18 years costs, i.e. the total effective lifetime figure divided by 16. </t>
  </si>
  <si>
    <t>Commercial - Theft from Vehicle - fiscal cost to the prison system</t>
  </si>
  <si>
    <t>Commercial - Attempted vehicle theft - fiscal cost to the prison system</t>
  </si>
  <si>
    <t>Shoplifting - fiscal cost to the prison system</t>
  </si>
  <si>
    <t>Commercial - Criminal damage - fiscal cost to the prison system</t>
  </si>
  <si>
    <t>Homicide - fiscal cost to other areas of the criminal justice system</t>
  </si>
  <si>
    <t>Serious Wounding - fiscal cost to other areas of the criminal justice system</t>
  </si>
  <si>
    <t>Other Wounding - fiscal cost to other areas of the criminal justice system</t>
  </si>
  <si>
    <t>Sexual offences - fiscal cost to other areas of the criminal justice system</t>
  </si>
  <si>
    <t>Common assault - fiscal cost to other areas of the criminal justice system</t>
  </si>
  <si>
    <t>Robbery - fiscal cost to other areas of the criminal justice system</t>
  </si>
  <si>
    <t>Theft - not vehicle related - fiscal cost to other areas of the criminal justice system</t>
  </si>
  <si>
    <t>Theft - not vehicle related - fiscal cost to the prison system</t>
  </si>
  <si>
    <t>Burglary dwelling - fiscal cost to other areas of the criminal justice system</t>
  </si>
  <si>
    <t>Theft of vehicle - fiscal cost to other areas of the criminal justice system</t>
  </si>
  <si>
    <t>Theft from vehicle - fiscal cost to other areas of the criminal justice system</t>
  </si>
  <si>
    <t>Attempted vehicle theft - fiscal cost to other areas of the criminal justice system</t>
  </si>
  <si>
    <t>Personal - Criminal damage - fiscal cost to other areas of the criminal justice system</t>
  </si>
  <si>
    <t>Commercial - Robbery - fiscal cost to other areas of the criminal justice system</t>
  </si>
  <si>
    <t>Burglary not in a dwelling - fiscal cost to other areas of the criminal justice system</t>
  </si>
  <si>
    <t>This is the average annual fiscal cost of service provision per adult suffering from depression (encompassing severe depressive disorder, moderate depressive disorder and mild depressive disorder).  In addition, the economic value quoted relates to lost earnings; other social costs (e.g. from reduced well-being) are not monetised in the King's Fund report.  As shown in the constituent measures below, the quoted fiscal value comprises costs to the NHS (90%) and local authority (10%).  An amber flag has been applied, in recognition of the age of the data (2007-08).  Note that this average has been calculated across all adults with depression, regardless of whether they accessed service provision or not.  The source quotes research that found that around two-thirds (65%) of working-age adults with depression access provision (i.e. around a third do not) - the average fiscal cost for adults suffering from depression who are 'in contact' with provision (either accessing services or diagnosed by a GP with a mental health problem) is £2,085, and the economic cost relating to lost earnings is £9,311 (2007-08 prices; see pp.15 and 21).</t>
  </si>
  <si>
    <t xml:space="preserve">Note that the source indicates that a London multiplier of 1.72 can be applied to the quoted (Out of London) cost. </t>
  </si>
  <si>
    <t xml:space="preserve">Mean cost of support from fieldwork teams and centres (costed staff/centre time). </t>
  </si>
  <si>
    <t>Local authority residential care home for children - cost per week</t>
  </si>
  <si>
    <t>Costs are 'grouped' into three categories - these can be opened up and closed using the three small boxes towards the top left of the worksheet (numbered 1, 2 and 3), or for individual groups of costs, using the '+' signs to the left of many of the rows.  The three categories are:</t>
  </si>
  <si>
    <t>% change on previous year</t>
  </si>
  <si>
    <t>% change on previous year as decimal</t>
  </si>
  <si>
    <t>GDP cumulative
(using 1989 as base year)</t>
  </si>
  <si>
    <t>Reverse calculation
(check)</t>
  </si>
  <si>
    <t>For further information on GDP deflators, see:</t>
  </si>
  <si>
    <t>Updated cost/ saving</t>
  </si>
  <si>
    <r>
      <t>Offender Management Team per offender (</t>
    </r>
    <r>
      <rPr>
        <u/>
        <sz val="10"/>
        <color indexed="8"/>
        <rFont val="Arial"/>
        <family val="2"/>
      </rPr>
      <t>over 18</t>
    </r>
    <r>
      <rPr>
        <sz val="10"/>
        <color indexed="8"/>
        <rFont val="Arial"/>
        <family val="2"/>
      </rPr>
      <t>)
- supervising community sentences</t>
    </r>
  </si>
  <si>
    <r>
      <t xml:space="preserve">Criminal proceedings: 
</t>
    </r>
    <r>
      <rPr>
        <b/>
        <u/>
        <sz val="10"/>
        <color indexed="8"/>
        <rFont val="Arial"/>
        <family val="2"/>
      </rPr>
      <t>Arrest</t>
    </r>
    <r>
      <rPr>
        <b/>
        <sz val="10"/>
        <color indexed="8"/>
        <rFont val="Arial"/>
        <family val="2"/>
      </rPr>
      <t xml:space="preserve"> - detained</t>
    </r>
  </si>
  <si>
    <t>EDUCATION &amp; SKILLS</t>
  </si>
  <si>
    <t>EMPLOYMENT &amp; ECONOMY</t>
  </si>
  <si>
    <t>Note that this is the fiscal cost of a simple repossession as far as making a Local Housing Allowance (LHA) application; if this application is successful, ongoing LHA payments could be factored in.  However, note the potential for double-counting with wider benefit payments, if other outcomes are modelled for the same individual (e.g. the first order fiscal benefit from reduced benefit payments as a result of helping someone into employment includes an element for housing benefits).  The source focuses on the fiscal costs resulting directly from the loss of a home and the immediate period leading up to this point.  Indirect costs that may accrue to the state in the future are not included, such as increased healthcare costs.  Wider economic and social costs are also excluded - e.g. economic costs to private companies, individuals and organisations, and social costs to individuals and society around personal well-being, social cohesion, etc.  Data for the study were sourced from government, the Chartered Institute of Public Finance Accountants,  Shelter's local authority benchmarking service, and contributing local authorities.  An amber flag has been allocated to reflect local level variation, and the significant methodological and data issues associated with deriving unit costs relating to housing.</t>
  </si>
  <si>
    <t>Note that this a stand alone cost, and does not form one of the constituent costs to the overall annual cost quoted above.  The data represent the lowest cost of a number of scenarios presented in the source (and reproduced in this database), which cover children with a range of needs/circumstances.  The scenario on which the cost is based, as outlined in the source, is for a child placed with the same foster parents for eight years before leaving care, with reviews and an up-dated care plan every six months, and some educational/health expenditure.  Transition to leaving care is a one-off event, so has not been included in the annual cost - however, it should be incorporated if required.</t>
  </si>
  <si>
    <t xml:space="preserve">This is the response cost per fire incurred by the fire service - it is a fiscal cost, although not one that is easily cashable (avoiding a certain number of responses does not necessarily mean a fire worker, appliance or station can be decommissioned).  The cost is an average for England; the source also gives averages for the nine English regions. </t>
  </si>
  <si>
    <t>This relates to the cost of deliberate fires only, and excludes accidental fires.  Resource costs associated with malicious false alarms were included (although the opportunity costs associated with false alarms were excluded).  Costs associated with attacks on firefighters, vehicles and equipment are included, but not costs related to Special Service Incidents (non-fire incidents, e.g. road traffic collisions, recovering/retrieving objects, and making public areas safe from potential fall of debris).  This is an average cost for England; the source also gives averages for the nine English regions.</t>
  </si>
  <si>
    <t>The source also quotes a London-weighted cost per hour for fire safety work of £20 (at 2008-09 prices).  No further definition is given, but a related report states that data were calculated from the average cost per hour of fire safety labour plus a 30% overhead to account for fixed administration costs such as expenses for premises (rent or building depreciation), telephone, heating, electricity, IT equipment, etc.; the overhead also included absence owing to illness.  Although it is not clear from the source, is seems likely that the cost does not include 'on-costs' such as national insurance and employer pension contributions.</t>
  </si>
  <si>
    <t>This is a constituent measure related to the subsidiary cost above, and represents the average saving to the NHS from reduced drug-related offending by people who go on to sustain longer-term recovery following receipt of effective structured drug treatment - the saving results from the reduced physical harm perpetrated on victims due to fewer robberies.  Please see the comment cell for the subsidiary cost for details over how these data relate to the headline measure, which refers to the annual savings derived from reduced offending whilst a client is in treatment.  Effective treatment is defined as remaining in treatment for at least 12 weeks, or exiting prior to this in a care-planned way.  The focus is on 'economic compulsive' drug-related crime - i.e. crime committed to pay for drug use; it excludes 'other violent crime', which may not have an economic compulsive motivation.  The cost is sourced from the 2012 National Treatment Agency publication, 'Estimating the crime reduction benefits of drug treatment and recovery', and relates to an 'average' client, regardless of drug type and nature of misuse.  The source also provides data on the average longer-term savings resulting from the crime reduction benefits to individuals and businesses, and for the social benefit resulting from a reduction in the physical and emotional impact on direct victims - these costs are detailed in the economic and social value columns for the subsidiary measure above.  A related constituent measure provides the fiscal savings to the criminal justice system and victim services from reduced drug-related offending by people in receipt of effective treatment.</t>
  </si>
  <si>
    <t>Commercial - Theft of Vehicle - fiscal cost to other areas of the criminal justice system</t>
  </si>
  <si>
    <t>Commercial - Theft from Vehicle - fiscal cost to other areas of the criminal justice system</t>
  </si>
  <si>
    <t>Commercial - Attempted vehicle theft - fiscal cost to other areas of the criminal justice system</t>
  </si>
  <si>
    <t>This is the average cost for a GP per hour of patient contact for out-of-surgery activity such as clinics and home visits; it includes travel time, and costs relating to direct care staff (practice nurses).  The source quotes the same cost including qualification costs, at £292 per hour (2012-13 prices).  Related costs are given for out-of-surgery activity per minute of patient contact (£4.00, or £4.90 including qualification costs) (again at 2012-13 prices).  Data are also quoted excluding direct care staff costs: the average cost for out-of-surgery activity per hour of patient contact becomes £218 (£267 including qualification costs), and per minute of patient contact £3.60 (£4.50 including qualification costs) (all at 2012-13 prices).  The costs are derived from practice salary costs, including administrative and clerical staff (and including on-costs such as national insurance and pension contributions), premises costs and business overheads, and training, travel and capital costs.  All costs are clearly presented in a summary table on p.191 of the source document, with related data and commentary on pp.190 and 192.</t>
  </si>
  <si>
    <t>This is the average cost for a GP out-of-surgery visit lasting an average 23.4 minutes; it includes travel time, and costs relating to direct care staff (practice nurses).  The source quotes the same cost including qualification costs, at £114 per visit (2012-13 prices).  Data are also quoted excluding direct care staff costs: the average cost for a 23.4 minute out-of-surgery activity visit becomes £85 (£104 including qualification costs) (both at 2012-13 prices).  The costs are derived from practice salary costs, including administrative and clerical staff (and including on-costs such as national insurance and pension contributions), premises costs and business overheads, and training, travel and capital costs.  All costs are clearly presented in a summary table on p.191 of the source document, with related data and commentary on pp.190 and 192.</t>
  </si>
  <si>
    <t>IER (2011): Net Benefits of Training Study 2011 p39, quoted in Employer Investment in Apprenticeships and Workplace Learning: The Fifth Net Benefits of Training to Employers Study (BIS Research Paper Number 67, 2012)</t>
  </si>
  <si>
    <t>IER (2011): Net Benefits of Training Study 2011 p54, quoted in Employer Investment in Apprenticeships and Workplace Learning: The Fifth Net Benefits of Training to Employers Study (BIS Research Paper Number 67, 2012)</t>
  </si>
  <si>
    <t>CR2.0.5</t>
  </si>
  <si>
    <t>Domestic violence - fiscal cost per incident: police</t>
  </si>
  <si>
    <t>Domestic violence - fiscal cost per incident: local authority, housing services</t>
  </si>
  <si>
    <t>Domestic violence - fiscal cost per incident: health</t>
  </si>
  <si>
    <t>Domestic violence - fiscal cost per incident: criminal justice system (excluding police)</t>
  </si>
  <si>
    <t>Domestic violence - fiscal cost per incident: local authority, social services (children)</t>
  </si>
  <si>
    <t>Sylvia Walby - The Cost of Domestic violence, update (2009), p.8</t>
  </si>
  <si>
    <t>This is the average fiscal cost per incident of domestic violence (DV) falling to the criminal justice system; note that it excludes costs to the police, which are detailed in the constituent cost line below.  It comprises costs falling to prosecution services, courts, probation and prisons, and civil and legal costs (e.g. legal aid) borne by the state.  See the comments cell for the headline entry above for information on how the costs have been derived, source details, and economic and social costs; it also explains why an amber flag has been applied to the quoted cost.</t>
  </si>
  <si>
    <t>This is the average fiscal cost per incident of domestic violence (DV) falling to health agencies.  It comprises the following constituent elements per incident: hospital and ambulance costs, £979; costs borne by mental health agencies, £149; prescription costs (excluding those paid for by individuals), £22; GP costs, £21 (all at 08-09 prices).  See the comments cell for the headline entry above for information on how the costs have been derived, source details, and economic and social costs; it also explains why an amber flag has been applied to the quoted cost.</t>
  </si>
  <si>
    <t>This is the average fiscal cost per incident of domestic violence (DV) falling to the police.  See the comments cell for the headline entry above for information on how the costs have been derived, source details, and economic and social costs; it also explains why an amber flag has been applied to the quoted cost.</t>
  </si>
  <si>
    <t>This is the average fiscal cost per incident of domestic violence (DV) falling to local authority social services, and specifically to children's services.  It represents the cost per incident relating to social services provision for children of DV victims.  See the comments cell for the headline entry above for information on how the costs have been derived, source details, and economic and social costs; it also explains why an amber flag has been applied to the quoted cost.</t>
  </si>
  <si>
    <t>TELEHEALTH</t>
  </si>
  <si>
    <t>TELECARE</t>
  </si>
  <si>
    <t>HE25.0</t>
  </si>
  <si>
    <t>Note that this a stand alone cost, and does not form one of the constituent costs to the overall annual cost quoted above.  The source provides a number of scenarios for children with different needs/circumstances (costs for the other scenarios are also provided in this database), of which this is a very high cost scenario, for 'difficult to place' children with disabilities, emotional or behavioural difficulties and offending behaviour.  The scenario on which the cost is based, as outlined in the source, is for a child who experienced nine different placements within the 87-week study period (the majority of which were out-of-area, and involved independent sector agencies placing the child in independent sector foster care and residential units with educational facilities).  Review meetings were held six monthly and his care plan was also updated every six months.  Ceasing being looked after is an ad-hoc event, so has not been included in the annual cost - however, it should be incorporated if required.</t>
  </si>
  <si>
    <t>SS2.0</t>
  </si>
  <si>
    <t>Child into local authority foster care: overall cost (cost per week)</t>
  </si>
  <si>
    <t>SS2.0.1</t>
  </si>
  <si>
    <t>SS2.0.2</t>
  </si>
  <si>
    <t>SS2.1</t>
  </si>
  <si>
    <t>Case management processes for looked-after children in foster care: deciding child needs to be looked after and finding a first placement</t>
  </si>
  <si>
    <t>Cost quoted is for Outer London (London costs are likely to be higher due to increased salary costs).</t>
  </si>
  <si>
    <t>SS2.2</t>
  </si>
  <si>
    <t>Case management processes for looked-after children in foster care: care planning</t>
  </si>
  <si>
    <t>Cost includes education plans and individual healthcare plans (no breakdown is given in the source documentation).  Cost quoted is for Outer London (London costs are likely to be higher due to increased salary costs).</t>
  </si>
  <si>
    <t>SS2.3</t>
  </si>
  <si>
    <t>The fiscal value is calculated using the up-front costs of supporting qualification attainment, and the change in tax revenues (increase in income tax, national insurance contributions and VAT payments) associated with qualification attainment. The source quotes the benefit over an average working lifetime of 40 years, from which an average annual benefit has been calculated by dividing by 40 (multiply by 40 to return to the working lifetime figure).  The economic value represents the additional annual earnings gain per employee as a result of achieving the qualification; it is the lower estimate, and reflects an assumption that 50% of the employment benefit is attributed to the qualification, following the approach of McIntosh (2007), while higher estimates are available that are based on an assumption that 100% of the employment gain is a result of obtaining the qualification. As with the fiscal value, an annual benefit has been calculated by dividing the economic value for an average working lifetime (40 years) by 40.  Note that when considering the overall public value relating to achieving the qualification, the fiscal saving should be excluded, as this is effectively a transfer payment (taxation benefits simply move monies from the individual to the Exchequer).  Total public value is therefore £1,382 (2010/11 prices).</t>
  </si>
  <si>
    <t>The fiscal value is calculated using the up-front costs of supporting qualification attainment, and the change in tax revenues (increase in income tax, national insurance contributions and VAT payments) associated with qualification attainment. The source quotes the benefit over an average working lifetime of 40 years, from which an average annual benefit has been calculated by dividing by 40 (multiply by 40 to return to the working lifetime figure).  The economic value represents the additional annual earnings gain per employee as a result of achieving the qualification; it is the lower estimate, and reflects an assumption that 50% of the employment benefit is attributed to the qualification, following the approach of McIntosh (2007), while higher estimates are available that are based on an assumption that 100% of the employment gain is a result of obtaining the qualification. As with the fiscal value, an annual benefit has been calculated by dividing the economic value for an average working lifetime (40 years) by 40.  Note that when considering the overall public value relating to achieving the qualification, the fiscal saving should be excluded, as this is effectively a transfer payment (taxation benefits simply move monies from the individual to the Exchequer).  Total public value is therefore £1,123 (2010/11 prices).</t>
  </si>
  <si>
    <t>Agency bearing the cost / making the fiscal saving</t>
  </si>
  <si>
    <t>Based on 100 case studies in 2003. Calculated net costs in the present study, that is, the costs of staff time and travel costs that can directly be attributed to cases. These net costs exclude organisational overheads, that is, building and office costs, staff training, and central services such as personnel.</t>
  </si>
  <si>
    <t xml:space="preserve">ESA claimants who have been claiming for 13 weeks progress to the work-related activity group if they are assessed as able to work in the Work Capability Assessment.  </t>
  </si>
  <si>
    <t>Employment and Support Allowance 
Support group</t>
  </si>
  <si>
    <t>Income Support: 
Single - aged 16-24 (or lone parent aged 16 or 17)</t>
  </si>
  <si>
    <t>Income Support: 
couple - one under 18, the other 18-24</t>
  </si>
  <si>
    <t>Jobseekers Allowance (JSA) is the main benefit for people who are out of work and seeking employment. There are two types - income-based (if the claimant does not have sufficient National Insurance contributions, but is on a low income), or contribution-based (if the claimant has paid sufficient National Insurance Class 1 contributions over the preceding two years).  This is the weekly income-based payment for single claimants aged 25 years and above.</t>
  </si>
  <si>
    <t>Jobseekers Allowance (JSA) is the main benefit for people who are out of work and seeking employment. There are two types - income-based (if the claimant does not have sufficient National Insurance contributions, but is on a low income), or contribution-based (if the claimant has paid sufficient National Insurance Class 1 contributions over the preceding two years).  This is the weekly income-based payment for single claimants under 25 years old.</t>
  </si>
  <si>
    <t>Sexual offences - average cost per incident (fiscal, economic and social values)</t>
  </si>
  <si>
    <t>Common assault - average cost per incident (fiscal, economic and social values)</t>
  </si>
  <si>
    <t>Robbery - average cost per incident (fiscal, economic and social values)</t>
  </si>
  <si>
    <t>Burglary dwelling - average cost per incident (fiscal, economic and social values)</t>
  </si>
  <si>
    <t>Theft, not vehicle related - average cost per incident (fiscal, economic and social values)</t>
  </si>
  <si>
    <r>
      <t xml:space="preserve">Theft </t>
    </r>
    <r>
      <rPr>
        <b/>
        <u/>
        <sz val="10"/>
        <color indexed="8"/>
        <rFont val="Arial"/>
        <family val="2"/>
      </rPr>
      <t>of</t>
    </r>
    <r>
      <rPr>
        <b/>
        <sz val="10"/>
        <color indexed="8"/>
        <rFont val="Arial"/>
        <family val="2"/>
      </rPr>
      <t xml:space="preserve"> </t>
    </r>
    <r>
      <rPr>
        <sz val="10"/>
        <color indexed="8"/>
        <rFont val="Arial"/>
        <family val="2"/>
      </rPr>
      <t>vehicle - average cost per incident (fiscal, economic and social values)</t>
    </r>
  </si>
  <si>
    <r>
      <t xml:space="preserve">Theft </t>
    </r>
    <r>
      <rPr>
        <b/>
        <u/>
        <sz val="10"/>
        <color indexed="8"/>
        <rFont val="Arial"/>
        <family val="2"/>
      </rPr>
      <t>from</t>
    </r>
    <r>
      <rPr>
        <b/>
        <sz val="10"/>
        <color indexed="8"/>
        <rFont val="Arial"/>
        <family val="2"/>
      </rPr>
      <t xml:space="preserve"> </t>
    </r>
    <r>
      <rPr>
        <sz val="10"/>
        <color indexed="8"/>
        <rFont val="Arial"/>
        <family val="2"/>
      </rPr>
      <t>vehicle - average cost per incident (fiscal, economic and social values)</t>
    </r>
  </si>
  <si>
    <t>Attempted vehicle theft - average cost per incident (fiscal, economic and social values)</t>
  </si>
  <si>
    <t>Personal, Criminal Damage - average cost per incident (fiscal, economic and social values)</t>
  </si>
  <si>
    <t>Commercial, Robbery - average cost per incident (fiscal, economic and social values)</t>
  </si>
  <si>
    <t>Burglary, not in a dwelling - average cost per incident (fiscal, economic and social values)</t>
  </si>
  <si>
    <t>Commercial, Theft of Vehicle - average cost per incident (fiscal, economic and social values)</t>
  </si>
  <si>
    <t>Commercial, Theft from vehicle - average cost per incident (fiscal, economic and social values)</t>
  </si>
  <si>
    <t>Commercial, Attempted Vehicle Theft - average cost per incident (fiscal, economic and social values)</t>
  </si>
  <si>
    <t>Shoplifting - average cost per incident (fiscal and economic values)</t>
  </si>
  <si>
    <t>Commercial, Criminal Damage - average cost per incident (fiscal, economic and social values)</t>
  </si>
  <si>
    <t>Crime - average fiscal cost per incident of crime, across all types of crime; police costs</t>
  </si>
  <si>
    <t>Crime - average fiscal cost per incident of crime, across all types of crime; probation costs</t>
  </si>
  <si>
    <t>Crime - average fiscal cost per incident of crime, across all types of crime; courts/legal aid costs</t>
  </si>
  <si>
    <t>Average cost of service provision for adults suffering from depression and/or anxiety disorders, per person per year - fiscal and economic costs</t>
  </si>
  <si>
    <t>Theft of vehicle - fiscal cost to the probation system</t>
  </si>
  <si>
    <t>Theft from vehicle - fiscal cost to the probation system</t>
  </si>
  <si>
    <t>Attempted vehicle theft - fiscal cost to the probation system</t>
  </si>
  <si>
    <t>Personal - Criminal damage - fiscal cost to the probation system</t>
  </si>
  <si>
    <t>Commercial - Robbery - fiscal cost to the probation system</t>
  </si>
  <si>
    <t>Burglary not in a dwelling - fiscal cost to the probation system</t>
  </si>
  <si>
    <t>Commercial - Theft of Vehicle - fiscal cost to the probation system</t>
  </si>
  <si>
    <t>Commercial - Theft from Vehicle - fiscal cost to the probation system</t>
  </si>
  <si>
    <t xml:space="preserve">This includes the administrative costs (e.g. advertising the vacancy, processing applications, and matching people to properties) and the financial costs (e.g. lost rental revenue, redecoration, repairs and security costs) incurred by a local authority in the process of re-letting a vacant home. </t>
  </si>
  <si>
    <t>This comprises the administrative costs incurred by a local authority in re-letting a vacant home - these can include advertising the vacancy, processing applications, and matching people to properties.</t>
  </si>
  <si>
    <t>This is a scenario-based measure that includes the on-going cost of providing temporary bed and breakfast accommodation whilst a homelessness application is progressing; the cost is based upon four weeks of temporary accommodation (£335 x 4).  The scenario used by Shelter involves a family becoming homeless having been evicted from private rented accommodation, and being re-housed in local authority social housing.  The source notes that in such an instance there may be a ongoing fiscal saving, as Housing Benefit payments in the social sector tend to be lower than those in the private rented sector (using the Housing Benefit costs given below, the average weekly saving between awards to private rented sector and local authority tenants would be £29, at 2013 prices).  The source focuses on the fiscal costs resulting directly from the loss of a home and the immediate period leading up to this point.  Indirect costs that may accrue to the state in the future are not included, such as increased healthcare costs.  Wider economic and social costs are also excluded - e.g. economic costs to private companies, individuals and organisations, and social costs to individuals and society around personal well-being, social cohesion, etc.  Data for the study were sourced from government, the Chartered Institute of Public Finance Accountants,  Shelter's local authority benchmarking service, and contributing local authorities.  An amber flag has been allocated to reflect local level variation, and the significant methodological and data issues associated with deriving unit costs relating to housing.</t>
  </si>
  <si>
    <t>This measure covers the time and costs incurred by a local authority in enabling households to move on from temporary accommodation.  It includes: the cost of advice and assistance following the completion of homelessness enquiries and the notification of duties owed; and action to 'relieve' homelessness and conclude one of the main homelessness duties in other ways.</t>
  </si>
  <si>
    <t>Commercial - Attempted vehicle theft - fiscal cost to the probation system</t>
  </si>
  <si>
    <t>Shoplifting - fiscal cost to the probation system</t>
  </si>
  <si>
    <t>Commercial - Criminal damage - fiscal cost to the probation system</t>
  </si>
  <si>
    <t>Sexual offences - fiscal cost to the courts/legal aid system</t>
  </si>
  <si>
    <t>Common assault - fiscal cost to the courts/legal aid system</t>
  </si>
  <si>
    <t>Robbery - fiscal cost to the courts/legal aid system</t>
  </si>
  <si>
    <t>Burglary dwelling - fiscal cost to the courts/legal aid system</t>
  </si>
  <si>
    <t>Theft - not vehicle related - fiscal cost to the courts/legal aid system</t>
  </si>
  <si>
    <t>Theft from vehicle - fiscal cost to the courts/legal aid system</t>
  </si>
  <si>
    <t>Attempted vehicle theft - fiscal cost to the courts/legal aid system</t>
  </si>
  <si>
    <t>Personal - Criminal damage - fiscal cost to the courts/legal aid system</t>
  </si>
  <si>
    <t>Commercial - Robbery - fiscal cost to the courts/legal aid system</t>
  </si>
  <si>
    <t>Burglary not in a dwelling - fiscal cost to the courts/legal aid system</t>
  </si>
  <si>
    <t>Commercial - Theft of Vehicle - fiscal cost to the courts/legal aid system</t>
  </si>
  <si>
    <t>Commercial - Theft from Vehicle - fiscal cost to the courts/legal aid system</t>
  </si>
  <si>
    <t>Commercial - Attempted vehicle theft - fiscal cost to the courts/legal aid system</t>
  </si>
  <si>
    <t>Shoplifting - fiscal cost to the courts/legal aid system</t>
  </si>
  <si>
    <t>Commercial - Criminal damage - fiscal cost to the courts/legal aid system</t>
  </si>
  <si>
    <t>Homicide - fiscal cost to the prison system</t>
  </si>
  <si>
    <t>Other Wounding - fiscal cost to the prison system</t>
  </si>
  <si>
    <t>Sexual offences - fiscal cost to the prison system</t>
  </si>
  <si>
    <t>Common assault - fiscal cost to the prison system</t>
  </si>
  <si>
    <t>Robbery - fiscal cost to the prison system</t>
  </si>
  <si>
    <t>Burglary dwelling - fiscal cost to the prison system</t>
  </si>
  <si>
    <t>Theft of vehicle - fiscal cost to the prison system</t>
  </si>
  <si>
    <t>Theft from vehicle - fiscal cost to the prison system</t>
  </si>
  <si>
    <t>Attempted vehicle theft - fiscal cost to the prison system</t>
  </si>
  <si>
    <t>Personal - Criminal damage - fiscal cost to the prison system</t>
  </si>
  <si>
    <t>Commercial - Robbery - fiscal cost to the prison system</t>
  </si>
  <si>
    <t>Burglary not in a dwelling - fiscal cost to the prison system</t>
  </si>
  <si>
    <t>Commercial - Theft of Vehicle - fiscal cost to the prison system</t>
  </si>
  <si>
    <t>Shoplifting - fiscal cost to other areas of the criminal justice system</t>
  </si>
  <si>
    <t>Commercial - Criminal damage - fiscal cost to other areas of the criminal justice system</t>
  </si>
  <si>
    <t>Serious Wounding - fiscal cost to the NHS</t>
  </si>
  <si>
    <t>Other Wounding - fiscal cost to the NHS</t>
  </si>
  <si>
    <t>Sexual offences - fiscal cost to the NHS</t>
  </si>
  <si>
    <t>Common assault - fiscal cost to the NHS</t>
  </si>
  <si>
    <t>Robbery - fiscal cost to the NHS</t>
  </si>
  <si>
    <t>Theft of vehicle - fiscal cost to the courts/legal aid system</t>
  </si>
  <si>
    <t>Commercial - Robbery - fiscal cost to the NHS</t>
  </si>
  <si>
    <t>Commercial - Theft from Vehicle - fiscal cost to the police</t>
  </si>
  <si>
    <t>Fiscal value</t>
  </si>
  <si>
    <t>Economic value</t>
  </si>
  <si>
    <t>Social value</t>
  </si>
  <si>
    <t>Permanent exclusion from school - fiscal cost of alternative educational provision (e.g. in a pupil referral unit), per individual per effective year (see comments)</t>
  </si>
  <si>
    <t>Permanent exclusion from school - health fiscal cost, per individual per effective year (see comments)</t>
  </si>
  <si>
    <t>Permanent exclusion from school - crime fiscal cost, per individual per effective year (see comments)</t>
  </si>
  <si>
    <t>Permanent exclusion from school - social services fiscal cost, per individual per effective year (see comments)</t>
  </si>
  <si>
    <t>Permanent exclusion from school - fiscal and economic cost of permanent exclusion from school, per individual per effective year</t>
  </si>
  <si>
    <t>Total fiscal and economic savings from the delivery of school-based emotional learning programmes, per child over a 10 year period</t>
  </si>
  <si>
    <t>NVQ Level 2 Qualification - annual fiscal and economic benefits</t>
  </si>
  <si>
    <t>City &amp; Guilds Level 2 Qualification - annual fiscal and economic benefits</t>
  </si>
  <si>
    <t>BTEC Level 2 Qualification - annual fiscal and economic benefits</t>
  </si>
  <si>
    <t>Apprenticeship Level 2 Qualification - annual fiscal and economic benefits</t>
  </si>
  <si>
    <t>NVQ Level 3 Qualification - annual fiscal and economic benefits</t>
  </si>
  <si>
    <t>City &amp; Guilds Level 3 Qualification - annual fiscal and economic benefits</t>
  </si>
  <si>
    <t>Nursing care for older people - average gross weekly expenditure per person</t>
  </si>
  <si>
    <t>Nursing care for older people - average gross weekly expenditure per person, local authority care costs</t>
  </si>
  <si>
    <t>SS8.0.2</t>
  </si>
  <si>
    <t>SS8.0.1</t>
  </si>
  <si>
    <t>Nursing care for older people - average gross weekly expenditure per person, standard NHS nursing care contribution</t>
  </si>
  <si>
    <t>This cost is derived from data on social services expenditure alongside data on social services activity.  Note that there can be local variance in the way that PSSEx returns made by local authorities (adult social services) to the Health and Social Care Information Centre (HSCIC) are completed, hence the 'amber' flag for this cost line - local authorities can experience difficulty in attributing expenditure to the correct categories (e.g. differentiating between 'own provision' and 'provision by others', or between nursing and residential care placements).  Users are advised to seek feedback from local authority finance personnel to assess the extent to which the unit cost given compares with local experience, and are recommended to derive a specific local cost where possible.</t>
  </si>
  <si>
    <t>SS9.1</t>
  </si>
  <si>
    <t>SS9.2</t>
  </si>
  <si>
    <t>SS9.3</t>
  </si>
  <si>
    <t>SS9.4</t>
  </si>
  <si>
    <t>SS9.5</t>
  </si>
  <si>
    <t>SS11.1</t>
  </si>
  <si>
    <t>SS11.2</t>
  </si>
  <si>
    <t>SS11.3</t>
  </si>
  <si>
    <t>SS11.4</t>
  </si>
  <si>
    <t>SS11.5</t>
  </si>
  <si>
    <t>SS11.6</t>
  </si>
  <si>
    <t>SS11.7</t>
  </si>
  <si>
    <t>SS11.8</t>
  </si>
  <si>
    <t>SS11.9</t>
  </si>
  <si>
    <t>SS11.10</t>
  </si>
  <si>
    <t>SS11.11</t>
  </si>
  <si>
    <t>SS11.12</t>
  </si>
  <si>
    <t>SS11.13</t>
  </si>
  <si>
    <t>SS11.14</t>
  </si>
  <si>
    <t>SS11.15</t>
  </si>
  <si>
    <t>SS11.16</t>
  </si>
  <si>
    <t>SS11.17</t>
  </si>
  <si>
    <t>SS15.3.1</t>
  </si>
  <si>
    <t>SS15.3.2</t>
  </si>
  <si>
    <t>SS15.3.3</t>
  </si>
  <si>
    <t>SS15.3.4</t>
  </si>
  <si>
    <t>This work is licensed under the Creative Commons Attribution 4.0 International License. To view a copy of this license, visit http://creativecommons.org/licenses/by/4.0/.</t>
  </si>
  <si>
    <t>Economic Cost</t>
  </si>
  <si>
    <t>Social Cost</t>
  </si>
  <si>
    <t>Changes made</t>
  </si>
  <si>
    <t>New / update</t>
  </si>
  <si>
    <t>New cost</t>
  </si>
  <si>
    <t>Update</t>
  </si>
  <si>
    <t>Database theme</t>
  </si>
  <si>
    <t>Revisions</t>
  </si>
  <si>
    <t>Crime</t>
  </si>
  <si>
    <t>Education &amp; skills</t>
  </si>
  <si>
    <t>Parenting Programme - Incredible Years: total cost per child (eight parents per group, excluding set-up costs)</t>
  </si>
  <si>
    <t>Note age of data.  Per effective year figure is based on BMJ study 18 years costs, i.e. the total effective lifetime figure divided by 16.  See the GM CBA model for a typical profile of how costs might be distributed across the police, probation and other criminal justice system agencies.  Note that the CBA model (and related CBA Guidance document) recommend that modelling excludes costs relating to (i) provision of alternative education - on the grounds that many truants will not receive any alternative provision; and (ii) social services costs - due to potential double-counting with related outcomes.  You may want to use the total cost quoted in the CBA model and CBA Guidance once these elements have been stripped out, which comes to £476 - decisions over use of this, or the higher overall cost quoted as the headline entry here, will depend on what you are using the unit cost for.</t>
  </si>
  <si>
    <t>The source quotes the median cost, as the range of values derived from local authorities was wide (£378 - £8,037), and the mean (£934) was distorted by the wide range.  The source also provides an annuitised cost (and gives information on how this has been derived) - the median annual equipment cost for a hoist is £310.  The original data are old, but the source comments that they have been substantiated by cross-referencing with more recent costs.</t>
  </si>
  <si>
    <t>Note age of data.  Per effective year figure is based on BMJ study 18 years costs, i.e. the total effective lifetime figure divided by 16.  See the GM CBA model for a typical profile of how costs might be distributed across the police, probation and other criminal justice system agencies.</t>
  </si>
  <si>
    <t>E&amp;E7.0</t>
  </si>
  <si>
    <t>E&amp;E7.1</t>
  </si>
  <si>
    <t>Jobcentre Plus - jobseeker advice</t>
  </si>
  <si>
    <t>Transactions Explorer, GOV.UK</t>
  </si>
  <si>
    <t xml:space="preserve">This is the average annual fiscal cost of service provision per adult suffering from depression and anxiety disorders.  In addition, the economic value quoted is related to lost earnings; other social costs (e.g. from reduced well-being) are not monetised in the King's Fund report.  The fiscal cost includes the following service areas: prescribed drugs; inpatient care; GP costs; other NHS services; supported accommodation; and social services costs.  As shown in the constituent measures below, the cost falls predominantly to the NHS (92%), followed by the local authority (8%).  An amber flag has been applied, in recognition of the age of the data (2007-08).  Note that the source quotes research that found that around one third of working age adults with depression and half of those with an anxiety disorder are not in contact with services (i.e. not accessing provision or diagnosed by a GP with a mental health condition) - this cost is an average across all adults suffering from depression and/or anxiety disorders, regardless of whether they are in contact with services or not.  The source also provides costs for a range of other adult mental health conditions, including dementia, and for child and adolescent disorders - these are outlined in the subsidiary and constituent costs detailed below.  Research from elsewhere (Mental Health Promotion and Mental Illness Prevention: the economic case, Knapp et al, 2011) suggests that the cost (to employers) of work-based screening for depression and anxiety disorders is £31 per employee (2009-10 prices), comprising completion of a screening questionnaire, follow-up assessment to confirm depression, and care management costs; subsequent delivery of six sessions of face-to-face CBT can cost some £240 per course.  The relatively low cost of such interventions, compared to the potential savings demonstrated in the data quoted here, demonstrate their cost-effectiveness. </t>
  </si>
  <si>
    <t>This is the average annual fiscal cost of service provision per adult suffering from bipolar disorder and related conditions (mood disorders including mania and hypomania).  In addition, the economic value quoted comprises lost earnings (£3,132 per person on average, at 2007-08 prices) and costs falling to informal carers (an estimated £403 per person); other social costs (e.g. from reduced well-being) are not monetised in the King's Fund report.  As shown in the constituent measures below, the quoted value comprises fiscal costs to the NHS (82%) and local authority (18%).  An amber flag has been applied, in recognition of the age of the data (2007-08).</t>
  </si>
  <si>
    <t>This is the average annual fiscal cost of service provision per adult suffering from eating disorders (anorexia nervosa and bulimia nervosa).  In addition, the economic value quoted relates to lost earnings; other social costs (e.g. from reduced well-being) are not monetised in the King's Fund report.  All (100%) of the fiscal cost quoted falls to the NHS, comprising inpatient and outpatient care.  An amber flag has been applied, in recognition of the age of the data (2007-08).  Note that this average has been calculated across all adults with eating disorders, regardless of whether they accessed service provision or not.  Many people with anorexia nervosa and bulimia nervosa are not in contact with mental health services (the source estimates contact rates of 34% of all people with anorexia nervosa and 5.8 per cent for people with bulimia nervosa; see p.85).</t>
  </si>
  <si>
    <t>This is the average annual fiscal cost of service provision per adult suffering from personality disorder.  It is an average of all service costs relating to people with personality disorders in contact with GPs due to their condition (unlike other constituent costs in this section, it does not include people who do not access service provision, and cannot therefore be considered a representative cost for all people suffering from personality disorders).  In addition, the economic value quoted relates to lost earnings; other social costs (e.g. from reduced well-being) are not monetised in the King's Fund report.  All (100%) of the fiscal cost quoted falls to the NHS, comprising the following areas: prescribed drugs; inpatient care; outpatient visits; and GP contacts.  Note that criminal justice system costs are not included, but could be significant.  An amber flag has been applied, in recognition of the age of the data (2007-08).</t>
  </si>
  <si>
    <t>This is the average annual fiscal cost of service provision per person suffering from dementia (the average is based on the estimated prevalence of dementia, including both diagnosed and undiagnosed cases, and those accessing/not accessing services; it covers Alzheimer’s disease, vascular dementia, fronto-temporal dementia, dementia with Lewy bodies and mixed dementia).  In addition, the economic value quoted falls to informal carers; the source assumes that there are no wider economic costs relating to lost earnings (the majority of dementia sufferers are beyond working age).  There will also be associated social costs (e.g. from reduced well-being); these are not monetised in the King's Fund report.  As shown in the constituent measures below, the quoted value comprises fiscal costs to the NHS (12.5%) and local authority (87.5%).  An amber flag has been applied, in recognition of the age of the data (2007-08).</t>
  </si>
  <si>
    <t>Housing Benefit - average weekly award, private rented sector</t>
  </si>
  <si>
    <t>Housing Benefit - average weekly award, private rented sector, Private Regulated Tenants</t>
  </si>
  <si>
    <t>Housing Benefit - average weekly award, private rented sector, Private Deregulated Tenants claiming Local Housing Allowance</t>
  </si>
  <si>
    <t>Housing Benefit - average weekly award, private rented sector, Private Deregulated Tenants not claiming Local Housing Allowance</t>
  </si>
  <si>
    <t>Housing Benefit - average cost of processing a Housing Benefit/Local Housing Allowance application</t>
  </si>
  <si>
    <t>This figure is an average of responses from a local authority consultation exercise undertaken by Shelter in 2011.</t>
  </si>
  <si>
    <t>In the scenario detailed in the Shelter report, this advice was provided by a local advice centre.</t>
  </si>
  <si>
    <t>This is the cost of homelessness prevention achieved by securing a new tenancy through the use of a rent deposit or damage guarantee scheme.  Note that this is a sub-set of the headline cost above (Homelessness advice and support), so should not be used alongside it in modelling.</t>
  </si>
  <si>
    <t>Homelessness advice and support - cost of a homelessness prevention or housing options scheme that leads to successful prevention of homelessness</t>
  </si>
  <si>
    <t>Average cost of administering a decision on a homelessness application</t>
  </si>
  <si>
    <t>This cost is usually met through Housing Benefit payments.</t>
  </si>
  <si>
    <t>This cost is usually met through Local Housing Allowance payments.</t>
  </si>
  <si>
    <t>Note that this is an on-going cost relating to the provision of temporary accommodation in bed and breakfast accommodation whilst the homelessness application was progressing.  The scenario for which the headline cost above relates (homelessness application) assumes that four weeks temporary accommodation was required at a cost of £1,339.80 (£334.95 x 4).</t>
  </si>
  <si>
    <t>Note that this is an on-going cost relating to the provision of temporary accommodation in the private rented sector whilst the homelessness application was progressing.  The scenario for which the headline cost above relates (complex eviction) assumes that two weeks temporary accommodation will be required at a cost of £324.88 (£162.44 x 2).  Note that costs following on from a successful homelessness application are not included - following acceptance of an application, costs could arise from an extended stay in temporary accommodation and a new letting being made (see homelessness application costs below).</t>
  </si>
  <si>
    <t>Court desk schemes or 'duty advice desks' provide homeowners facing repossession with free legal advice and representation at court before a hearing.  In the majority of cases, they are able to prevent immediate repossession. This is the out-of-London average cost per session for Court Desk advice.  The source also quotes a London cost of £84 per session.</t>
  </si>
  <si>
    <t>The source focuses on the fiscal costs resulting directly from the loss of a home and the immediate period leading up to this point.  Indirect costs that may accrue to the state in the future are not included, such as increased healthcare costs.  Wider economic and social costs are also excluded - e.g. economic costs to private companies, individuals and organisations, and social costs to individuals and society around personal well-being, social cohesion, etc.  Data for the study were sourced from government, the Chartered Institute of Public Finance Accountants,  Shelter's local authority benchmarking service, and contributing local authorities.  An amber flag has been allocated to reflect local level variation, and the significant methodological and data issues associated with deriving unit costs relating to housing.</t>
  </si>
  <si>
    <t>This measure comprises the process costs associated with providing advice, support and assistance through a homelessness prevention or housing options scheme, and which results in homelessness being prevented or relieved (note that this does not preclude loss of the original home).  Data for the study were sourced from government, the Chartered Institute of Public Finance Accountants,  Shelter's local authority benchmarking service, and contributing local authorities. An amber flag has been allocated to reflect local level variation, and the significant methodological and data issues associated with deriving unit costs relating to housing.</t>
  </si>
  <si>
    <t>This figure is an average of responses from a local authority consultation exercise undertaken by Shelter in 2011.  An amber flag has been allocated to reflect local level variation, and the significant methodological and data issues associated with deriving unit costs relating to housing.</t>
  </si>
  <si>
    <t>Evidence review of the costs of homelessness (DCLG, 2012), pp.14-15</t>
  </si>
  <si>
    <t xml:space="preserve">Rough sleepers - average annual local authority expenditure per individual </t>
  </si>
  <si>
    <t>Average cost per client per week of a homelessness outreach worker specialising in multiple needs</t>
  </si>
  <si>
    <t>Per client per week</t>
  </si>
  <si>
    <t>This is the average annual spend per unit by local authorities on outreach services for rough sleepers. The source provides a lower cost of £30 per week, and a higher cost of £60 per week; the mid-point has been used here.  A red flag has been allocated to reflect the age of the data, and the variance in potential cost.</t>
  </si>
  <si>
    <t>How many, how much? Single homelessness and the question of numbers and cost (Crisis/New Policy Institute, 2003)</t>
  </si>
  <si>
    <t>HE10.2</t>
  </si>
  <si>
    <t>HE11.2</t>
  </si>
  <si>
    <t>HE11.3</t>
  </si>
  <si>
    <t>HE11.4</t>
  </si>
  <si>
    <t>HE11.5</t>
  </si>
  <si>
    <t>HE11.6</t>
  </si>
  <si>
    <t>HE11.7</t>
  </si>
  <si>
    <t>HE11.8</t>
  </si>
  <si>
    <t>HE11.9</t>
  </si>
  <si>
    <t>HE12.2</t>
  </si>
  <si>
    <t>HE12.3</t>
  </si>
  <si>
    <t>HE12.4</t>
  </si>
  <si>
    <t>HE12.5</t>
  </si>
  <si>
    <t>HE12.6</t>
  </si>
  <si>
    <t>HE16.2</t>
  </si>
  <si>
    <t>HE16.4</t>
  </si>
  <si>
    <t>HE16.3</t>
  </si>
  <si>
    <t>HE16.5</t>
  </si>
  <si>
    <t>HE16.6</t>
  </si>
  <si>
    <t>HE1.0</t>
  </si>
  <si>
    <t>HE2.0</t>
  </si>
  <si>
    <t>HE3.0</t>
  </si>
  <si>
    <t>HE4.0</t>
  </si>
  <si>
    <t>HE5.0</t>
  </si>
  <si>
    <t>HE6.0</t>
  </si>
  <si>
    <t>HE7.0</t>
  </si>
  <si>
    <t>HE8.0</t>
  </si>
  <si>
    <t>HE9.0</t>
  </si>
  <si>
    <t>HE10.0</t>
  </si>
  <si>
    <t>HE11.0</t>
  </si>
  <si>
    <t>HE12.0</t>
  </si>
  <si>
    <t>HE13.0</t>
  </si>
  <si>
    <t>HE14.0</t>
  </si>
  <si>
    <t>HE15.0</t>
  </si>
  <si>
    <t>This is the average annual fiscal cost of service provision per person suffering from any type of mental health disorder, including dementia - it is the average across all age groups, including children, adolescents and adults (but excluding children under five years of age).  In addition, the economic value quoted comprises lost earnings (£3,019 per person on average, at 2007-08 prices) and costs falling to informal carers (an estimated £736 per person); other social costs (e.g. from reduced well-being) are not monetised in the King's Fund report.  As shown in the constituent measures below, the cost comprises fiscal costs to the local authority (56%), NHS (43%)  and criminal justice system (1%).  An amber flag has been applied, in recognition of the age of the data (2007-08).  The high cost of service provision for people suffering from dementia, allied with high prevalence of the condition, has a significant impact on the average figure quoted here - see the related subsidiary and constituent cost lines for average costs excluding dementia.</t>
  </si>
  <si>
    <t>The fiscal value is calculated using the up-front costs of supporting qualification attainment, and the change in tax revenues (increase in income tax, national insurance contributions and VAT payments) associated with qualification attainment. The source quotes the benefit over an average working lifetime of 40 years, from which an average annual benefit has been calculated by dividing by 40 (multiply by 40 to return to the working lifetime figure).  The economic value represents the additional annual earnings gain per employee as a result of achieving the qualification; it is the lower estimate, and reflects an assumption that 50% of the employment benefit is attributed to the qualification, following the approach of McIntosh (2007), while higher estimates are available that are based on an assumption that 100% of the employment gain is a result of obtaining the qualification. As with the fiscal value, an annual benefit has been calculated by dividing the economic value for an average working lifetime (40 years) by 40.  Note that when considering the overall public value relating to achieving the qualification, the fiscal saving should be excluded, as this is effectively a transfer payment (taxation benefits simply move monies from the individual to the Exchequer).  Total public value is therefore £1,059 (2010/11 prices).</t>
  </si>
  <si>
    <t>The fiscal value is calculated using the up-front costs of supporting qualification attainment, and the change in tax revenues (increase in income tax, national insurance contributions and VAT payments) associated with qualification attainment. The source quotes the benefit over an average working lifetime of 40 years, from which an average annual benefit has been calculated by dividing by 40 (multiply by 40 to return to the working lifetime figure).  The economic value represents the additional annual earnings gain per employee as a result of achieving the qualification; it is the lower estimate, and reflects an assumption that 50% of the employment benefit is attributed to the qualification, following the approach of McIntosh (2007), while higher estimates are available that are based on an assumption that 100% of the employment gain is a result of obtaining the qualification. As with the fiscal value, an annual benefit has been calculated by dividing the economic value for an average working lifetime (40 years) by 40.  Note that when considering the overall public value relating to achieving the qualification, the fiscal saving should be excluded, as this is effectively a transfer payment (taxation benefits simply move monies from the individual to the Exchequer).  Total public value is therefore £878 (2010/11 prices).</t>
  </si>
  <si>
    <t>The fiscal value is calculated using the up-front costs of supporting qualification attainment, and the change in tax revenues (increase in income tax, national insurance contributions and VAT payments) associated with qualification attainment. The source quotes the benefit over an average working lifetime of 40 years, from which an average annual benefit has been calculated by dividing by 40 (multiply by 40 to return to the working lifetime figure).  The economic value represents the additional annual earnings gain per employee as a result of achieving the qualification; it is the lower estimate, and reflects an assumption that 50% of the employment benefit is attributed to the qualification, following the approach of McIntosh (2007), while higher estimates are available that are based on an assumption that 100% of the employment gain is a result of obtaining the qualification. As with the fiscal value, an annual benefit has been calculated by dividing the economic value for an average working lifetime (40 years) by 40.  Note that when considering the overall public value relating to achieving the qualification, the fiscal saving should be excluded, as this is effectively a transfer payment (taxation benefits simply move monies from the individual to the Exchequer).  Total public value is therefore £1,208 (2010/11 prices).</t>
  </si>
  <si>
    <t>This is a constituent cost to the headline measure above, and is the cost saving associated with reduced reported offences that result from delivery of a structured drug treatment programme - the data represent fiscal savings to the criminal justice system and victim services that are realised whilst a drug misuser is engaged in effective treatment.  Note that costs to the criminal justice system and victim services (often delivered by the voluntary and community sector, e.g. Victim Support) are not separated out (although see the GM CBA model for a typical profile across police, probation and other criminal justice system areas).  Effective treatment is defined as remaining in treatment for at least 12 weeks, or exiting prior to this in a care-planned way; the average length of continuous treatment contact is two years).  The focus is on 'economic compulsive' drug-related crime - i.e. crime committed to pay for drug use; it excludes 'other violent crime', which may not have an economic compulsive motivation.  The cost is sourced from the 2012 National Treatment Agency publication, 'Estimating the crime reduction benefits of drug treatment and recovery', and relates to an 'average' client, regardless of drug type and nature of misuse.  The economic value represents the crime reduction benefits to individuals and businesses; the social value, quantified in QALYs, represents a reduction in the physical and emotional impact on direct victims.  Also see the related constituent cost for average annual savings to the NHS from reduced drug-related offending by people in receipt of effective treatment, from the same source.</t>
  </si>
  <si>
    <t>This is a constituent cost to the headline measure above, and is the cost saving flowing to the NHS that results from the reduced physical harm perpetrated on victims due to fewer robberies.  As with the related constituent measure on savings to the criminal justice system and victim services, the cost refers to the reduction in reported offences that result from delivery of a structured drug treatment programme (the data represent fiscal savings to the NHS that are realised whilst a drug misuser is engaged in effective treatment.  Effective treatment is defined as remaining in treatment for at least 12 weeks, or exiting prior to this in a care-planned way; the average length of continuous treatment contact is two years).  The focus is on 'economic compulsive' drug-related crime - i.e. crime committed to pay for drug use; it excludes 'other violent crime', which may not have an economic compulsive motivation.  The cost is sourced from the 2012 National Treatment Agency publication, 'Estimating the crime reduction benefits of drug treatment and recovery', and relates to an 'average' client, regardless of drug type and nature of misuse.  The economic value represents the crime reduction benefits to individuals and businesses; the social value, quantified in QALYs, represents a reduction in the physical and emotional impact on direct victims.</t>
  </si>
  <si>
    <t>Crime - average fiscal cost per incident of crime, across all types of crime; prison costs</t>
  </si>
  <si>
    <t>Crime - average fiscal cost per incident of crime, across all types of crime; other criminal justice system costs</t>
  </si>
  <si>
    <t>Crime - average fiscal cost per incident of crime, across all types of crime; NHS costs</t>
  </si>
  <si>
    <t>Homicide - fiscal cost to the police</t>
  </si>
  <si>
    <t>Homicide - fiscal cost to the NHS</t>
  </si>
  <si>
    <t>Serious Wounding - fiscal cost to the police</t>
  </si>
  <si>
    <t>Serious Wounding - fiscal cost to the prison system</t>
  </si>
  <si>
    <t>Other Wounding - fiscal cost to the police</t>
  </si>
  <si>
    <t>Sexual offences - fiscal cost to the police</t>
  </si>
  <si>
    <t>Common assault - fiscal cost to the police</t>
  </si>
  <si>
    <t>Robbery - fiscal cost to the police</t>
  </si>
  <si>
    <t>Burglary dwelling - fiscal cost to the police</t>
  </si>
  <si>
    <t>Theft - not vehicle related - fiscal cost to the police</t>
  </si>
  <si>
    <t>Theft of vehicle - fiscal cost to the police</t>
  </si>
  <si>
    <t>Theft from vehicle - fiscal cost to the police</t>
  </si>
  <si>
    <t>Attempted vehicle theft - fiscal cost to the police</t>
  </si>
  <si>
    <t>Personal - Criminal damage - fiscal cost to the police</t>
  </si>
  <si>
    <t>Commercial - Robbery - fiscal cost to the police</t>
  </si>
  <si>
    <t>Burglary not in a dwelling - fiscal cost to the police</t>
  </si>
  <si>
    <t>Commercial - Theft of Vehicle - fiscal cost to the police</t>
  </si>
  <si>
    <t>Commercial - Attempted vehicle theft - fiscal cost to the police</t>
  </si>
  <si>
    <t>Shoplifting - fiscal cost to the police</t>
  </si>
  <si>
    <t>Commercial - Criminal damage - fiscal cost to the police</t>
  </si>
  <si>
    <t>Homicide - fiscal cost to the courts/legal aid system</t>
  </si>
  <si>
    <t>Serious Wounding - fiscal cost to the courts/legal aid system</t>
  </si>
  <si>
    <t>Other Wounding - fiscal cost to the courts/legal aid system</t>
  </si>
  <si>
    <t>Serious Wounding - fiscal cost to the probation system</t>
  </si>
  <si>
    <t>Homicide - fiscal cost to the probation system</t>
  </si>
  <si>
    <t>Other Wounding - fiscal cost to the probation system</t>
  </si>
  <si>
    <t>Sexual offences - fiscal cost to the probation system</t>
  </si>
  <si>
    <t>Common assault - fiscal cost to the probation system</t>
  </si>
  <si>
    <t>Robbery - fiscal cost to the probation system</t>
  </si>
  <si>
    <t>Burglary dwelling - fiscal cost to the probation system</t>
  </si>
  <si>
    <t>Theft - not vehicle related - fiscal cost to the probation system</t>
  </si>
  <si>
    <t>The fiscal value is calculated using the up-front costs of supporting qualification attainment, and the change in tax revenues (increase in income tax, national insurance contributions and VAT payments) associated with qualification attainment. The source quotes the benefit over an average working lifetime of 40 years, from which an average annual benefit has been calculated by dividing by 40 (multiply by 40 to return to the working lifetime figure).  The economic value represents the additional annual earnings gain per employee as a result of achieving the qualification; it is the lower estimate, and reflects an assumption that 50% of the employment benefit is attributed to the qualification, following the approach of McIntosh (2007), while higher estimates are available that are based on an assumption that 100% of the employment gain is a result of obtaining the qualification. As with the fiscal value, an annual benefit has been calculated by dividing the economic value for an average working lifetime (40 years) by 40.  Note that when considering the overall public value relating to achieving the qualification, the fiscal saving should be excluded, as this is effectively a transfer payment (taxation benefits simply move monies from the individual to the Exchequer).  Total public value is therefore £1,925 (2010/11 prices).</t>
  </si>
  <si>
    <t>The mean gross Exchequer benefit (i.e. enhanced income tax and National Insurance receipts before the costs of provision) associated with undergraduate degree level provision stands at approximately £110,000 in present value terms.  If this benefit extends over an average working lifetime of 40 years, an average annual benefit can be calculated by dividing by 40.  The economic value is the mean gross graduate premium (i.e. additional annual earnings gain per employee as a result of achieving the qualification, net of tax and National Insurance, but before the costs associated with qualification attainment); although not explicitly modelled, it stands at approximately £125,000 in present value terms. As with the fiscal value, an annual benefit has been calculated by dividing this value for an average working lifetime (40 years) by 40.  Note that when considering the overall public value relating to achieving the qualification, the fiscal saving should be excluded, as this is effectively a transfer payment (taxation benefits simply move monies from the individual to the Exchequer).  Total public value is therefore £3,125 (2010/11 prices).</t>
  </si>
  <si>
    <t>Employment and Support Allowance / Incapacity Benefit
Fiscal and economic benefit from a workless claimant entering work</t>
  </si>
  <si>
    <t>Income Support
Fiscal and economic benefit from a workless claimant entering work</t>
  </si>
  <si>
    <t>Job Seeker's Allowance 
Fiscal and economic benefit from a workless claimant entering work</t>
  </si>
  <si>
    <t xml:space="preserve">Domestic violence - average cost per incident (fiscal, economic and social values)
</t>
  </si>
  <si>
    <t>Crime - average cost per incident of crime, across all types of crime (fiscal, economic and social values)</t>
  </si>
  <si>
    <t>Employment &amp; economy</t>
  </si>
  <si>
    <t>Fire</t>
  </si>
  <si>
    <t>Health</t>
  </si>
  <si>
    <t>Housing</t>
  </si>
  <si>
    <t>This is a constituent measure related to the subsidiary cost above, and represents the average savings to the criminal justice system and victim services (which are often delivered by the voluntary and community sector, e.g. Victim Support) from reduced drug-related offending by people who go on to sustain longer-term recovery following receipt of effective structured drug treatment.  Please see the comment cell for the subsidiary cost for details over how these data relate to the headline measure, which refers to the annual savings derived from reduced offending whilst a client is in treatment.  Effective treatment is defined as remaining in treatment for at least 12 weeks, or exiting prior to this in a care-planned way.  The focus is on 'economic compulsive' drug-related crime - i.e. crime committed to pay for drug use; it excludes 'other violent crime', which may not have an economic compulsive motivation.  The cost is sourced from the 2012 National Treatment Agency publication, 'Estimating the crime reduction benefits of drug treatment and recovery', and relates to an 'average' client, regardless of drug type and nature of misuse.  The source also provides data on the average longer-term savings resulting from the crime reduction benefits to individuals and businesses, and for the social benefit resulting from a reduction in the physical and emotional impact on direct victims - these costs are detailed in the economic and social value columns for the subsidiary measure above.  A related constituent measure provides the fiscal savings to the NHS from reduced drug-related offending by people in receipt of effective treatment (the cost refers to the reduced physical harm perpetrated on victims due to fewer robberies).</t>
  </si>
  <si>
    <t xml:space="preserve">Homicide - average cost (fiscal, economic and social values)
</t>
  </si>
  <si>
    <t>Serious Wounding - average cost per incident (fiscal, economic and social values)</t>
  </si>
  <si>
    <t>Other Wounding - average cost per incident (fiscal, economic and social values)</t>
  </si>
  <si>
    <t>This is the average annual fiscal cost of service provision per adult suffering from anxiety disorders (these include generalised anxiety disorder, agoraphobia, social phobia, panic disorder and obsessive compulsive disorder).  In addition, the economic value quoted relates to lost earnings; other social costs (e.g. from reduced well-being) are not monetised in the King's Fund report.  As shown in the constituent measures below, the quoted value comprises fiscal costs to the NHS (95%) and local authority (5%).  An amber flag has been applied, in recognition of the age of the data (2007-08).  Note that this average has been calculated across all adults suffering from anxiety disorders, regardless of whether they accessed service provision or not.  The source quotes research that found that around a half (51%) of people with anxiety disorders are not in contact with services - the average fiscal cost for adults suffering from anxiety disorders who are in treatment or whose condition is recognised (e.g. by their GP) is £1,104, and the economic cost relating to lost earnings is £1,298 (2007-08 prices; see pp.35 and 39).</t>
  </si>
  <si>
    <t>This is the average annual fiscal cost of service provision per adult suffering from schizophrenic disorders.  In addition, the economic value quoted comprises lost earnings (£8,476 per person on average, at 2007-08 prices) and costs falling to informal carers (an estimated £2,655 per person); other social costs (e.g. from reduced well-being) are not monetised in the King's Fund report.  As shown in the constituent measures below, the quoted value comprises fiscal costs to the NHS (76%), local authority (17%) and criminal justice system (7%).  An amber flag has been applied, in recognition of the age of the data (2007-08).</t>
  </si>
  <si>
    <t>Private, voluntary or independent sector care home for people with mental health problems - average cost per week</t>
  </si>
  <si>
    <t>Unit Costs of Health &amp; Social Care 2013 (Curtis, 2013), p.191</t>
  </si>
  <si>
    <t>This is the average annual fiscal cost of service provision per person suffering from any type of mental health disorder, excluding dementia (it may be useful to separate out dementia from other mental health costs, due to: the differing nature of dementia from other mental health disorders, and the largely elderly cohort of dementia sufferers; and the disproportionate impact that the inclusion of dementia has on average values, given its high cost and prevalence).  It is the average across all age groups, including children, adolescents and adults (but excluding children under five years of age).  In addition, the economic value quoted comprises lost earnings (£3,236 per person on average, at 2007-08 prices) and costs falling to informal carers (an estimated £126 per person); other social costs (e.g. from reduced well-being) are not monetised in the King's Fund report.  As shown in the constituent measures below, the cost comprises fiscal costs to the NHS (87%), local authority (11%) and criminal justice system (2%).  An amber flag has been applied, in recognition of the age of the data (2007-08).</t>
  </si>
  <si>
    <r>
      <rPr>
        <sz val="10"/>
        <rFont val="Arial"/>
        <family val="2"/>
      </rPr>
      <t>Not in Employment Education or Training
Lifetime fiscal costs, including welfare payments (less pensions); and lost contributions £ (NI, direct taxes)</t>
    </r>
  </si>
  <si>
    <t>This cost is derived from the constituent cost lines detailed below - it includes the cost per fire of fatalities, injuries and non-detected arson, and costs to the Criminal Justice System, police, and prison service.  Although the latter (agency) costs are fiscal, note that elements of the other costs may not be.  The economic value per fire comprises property damage of (2008/09 prices) £2,634, and for lost business of £79; the average public value consequence cost per fire, combining the fiscal and economic costs, is £5,792.  Quoted costs are averages for England; the source also gives averages for the nine English regions.</t>
  </si>
  <si>
    <t>This is the average annual fiscal cost of service provision per adult suffering from any type of mental health disorder, including dementia.  In addition, the economic value quoted comprises lost earnings (£3,248 per person on average, at 2007-08 prices) and costs falling to informal carers (an estimated £792 per person); other social costs (e.g. from reduced well-being) are not monetised in the King's Fund report.  As shown in the constituent measures below, the fiscal cost comprises costs to the local authority (56.6%), NHS (42.7%)  and criminal justice system (0.7%).  An amber flag has been applied, in recognition of the age of the data (2007-08).  The high cost of service provision for people suffering from dementia, allied with high prevalence of the condition, has a significant impact on the average figure quoted here - see the related subsidiary and constituent cost lines for average costs excluding dementia.</t>
  </si>
  <si>
    <t>This is the average annual fiscal cost of service provision per adult suffering from any type of mental health disorder, excluding dementia (it may be useful to separate out dementia from other mental health costs, due to: the differing nature of dementia from other mental health disorders, and the largely elderly cohort of dementia sufferers; and the disproportionate impact that the inclusion of dementia has on average values, given its high cost and prevalence).  In addition, the economic value quoted comprises lost earnings (£3,501 per person on average, at 2007-08 prices) and costs falling to informal carers (an estimated £136 per person); other social costs (e.g. from reduced well-being) are not monetised in the King's Fund report.  As shown in the constituent measures below, the quoted value comprises fiscal costs to the NHS (87%), local authority (11%) and criminal justice system (2%).  An amber flag has been applied, in recognition of the age of the data (2007-08).</t>
  </si>
  <si>
    <t>BTEC Level 3 Qualification - annual fiscal and economic benefits</t>
  </si>
  <si>
    <t>Apprenticeship Level 3 Qualification - annual fiscal and economic benefits</t>
  </si>
  <si>
    <t>Graduate Level 4+ Qualification - annual fiscal and economic benefits</t>
  </si>
  <si>
    <t>The fiscal value is calculated using the up-front costs of supporting qualification attainment, and the change in tax revenues (increase in income tax, national insurance contributions and VAT payments) associated with qualification attainment. The source quotes the benefit over an average working lifetime of 40 years, from which an average annual benefit has been calculated by dividing by 40 (multiply by 40 to return to the working lifetime figure).  The economic value represents the additional annual earnings gain per employee as a result of achieving the qualification; it is the lower estimate, and reflects an assumption that 50% of the employment benefit is attributed to the qualification, following the approach of McIntosh (2007), while higher estimates are available that are based on an assumption that 100% of the employment gain is a result of obtaining the qualification. As with the fiscal value, an annual benefit has been calculated by dividing the economic value for an average working lifetime (40 years) by 40.  Note that when considering the overall public value relating to achieving the qualification, the fiscal saving should be excluded, as this is effectively a transfer payment (taxation benefits simply move monies from the individual to the Exchequer).  Total public value is therefore £443 (2010/11 prices).</t>
  </si>
  <si>
    <t>This refers to universal screening by GPs of patients for alcohol misuse, followed by a five-minute advice session for those who screen positive.  This is the average cost across all people screened, including both positive and negative results.</t>
  </si>
  <si>
    <t>Clinical support worker (hospital) - cost per hour</t>
  </si>
  <si>
    <t>The fiscal value is calculated using the up-front costs of supporting qualification attainment, and the change in tax revenues (increase in income tax, national insurance contributions and VAT payments) associated with qualification attainment. The source quotes the benefit over an average working lifetime of 40 years, from which an average annual benefit has been calculated by dividing by 40 (multiply by 40 to return to the working lifetime figure).  The economic value represents the additional annual earnings gain per employee as a result of achieving the qualification; it is the lower estimate, and reflects an assumption that 50% of the employment benefit is attributed to the qualification, following the approach of McIntosh (2007), while higher estimates are available that are based on an assumption that 100% of the employment gain is a result of obtaining the qualification. As with the fiscal value, an annual benefit has been calculated by dividing the economic value for an average working lifetime (40 years) by 40.  Note that when considering the overall public value relating to achieving the qualification, the fiscal saving should be excluded, as this is effectively a transfer payment (taxation benefits simply move monies from the individual to the Exchequer).  Total public value is therefore £921 (2010/11 prices).</t>
  </si>
  <si>
    <t>School-based emotional learning (SEL) programmes are designed to help address conduct problems in childhood; such problems lead to significant longer-term costs relating to adverse outcomes such as increased risk of criminal activity, fewer school qualifications, parenthood at a young age, unemployment, divorce or separation, substance abuse, and psychiatric disorders.  This measure represents the fiscal savings to public sector agencies derived from the delivery of SEL programmes - it is the average saving per child over a ten year period.  The research assumes that children receive the intervention aged ten years old, and start in one of three different conduct ‘health states’: no conduct problems, mild conduct problems or severe conduct problems.  The source gives a breakdown of potential savings over the ten year period, providing the following costs at different stages: year 1 (savings over the first year following delivery of the SEL programme), £83; year 5 (savings for years 1-5 after programme delivery), £2,038; year 10 (savings for years 1-10 after programme delivery), £3,206 (all at 2009-10 prices).  The average annual saving over the ten year period is £321.  Constituent costs for the individual agencies are given in the cost lines below.  As detailed in the source (see the Education and Skills section of this database), the costs of a representative intervention, including teacher training, programme coordinator and materials were estimated as £132 per child - put alongside these potential savings, it is evident that such programmes can offer good value for money, with the overall break-even point after the first year following the intervention, and the education sector breaking even after five years.  Note that the research did not model wider outcomes such as improved academic performance, or benefits accruing to parents, siblings or other peers.  In addition to the fiscal benefits, the source quotes wider economic benefits over ten years to non-public sector bodies/individuals as follows: victim costs (crime), £4,912; other crime costs, £2,038; voluntary sector, £8 (see p.10 of the source report for details of how these costs are distributed over the ten year period).</t>
  </si>
  <si>
    <t>This is a subsidiary measure related to the headline measure above, and represents the average longer-term savings from reduced drug-related offending by people sustaining recovery following receipt of effective structured drug treatment.  Note that the cost savings detailed here are additional to savings on the headline measure, which are annual savings derived from reduced offending whilst a client is in treatment.  Hence, the average total savings for someone receiving treatment and subsequently sustaining longer-term recovery are the annual savings whilst in treatment (calculated from the headline annual saving multiplied by the length of time spent in treatment, which the source quotes as an average of three years), plus the longer-term savings outlined here.  As shown in the constituent costs below, the data comprise fiscal savings to the criminal justice system and victim services (which are often delivered by the voluntary and community sector, e.g. Victim Support), and to the NHS as a result of reduced physical harm perpetrated on victims due to fewer robberies.  Effective treatment is defined as remaining in treatment for at least 12 weeks, or exiting prior to this in a care-planned way.  The focus is on 'economic compulsive' drug-related crime - i.e. crime committed to pay for drug use; it excludes 'other violent crime', which may not have an economic compulsive motivation.  The cost is sourced from the 2012 National Treatment Agency publication, 'Estimating the crime reduction benefits of drug treatment and recovery', and relates to an 'average' client, regardless of drug type and nature of misuse.  
The economic value represents the crime reduction benefits to individuals and businesses; the social value, quantified in QALYs, represents a reduction in the physical and emotional impact on direct victims.  Note that, in contrast to the headline measure above (HE2.0), the economic value does not include the cost saving to the individual due to not buying drugs; the social value does not include health/well-being benefits to the drug user from reduction in drug misuse.</t>
  </si>
  <si>
    <t>This includes the cost of hospital inpatient and day visits, outpatient visits, A&amp;E and ambulance visits, primary care consultations and prescribed medications.  The cost is derived from data on higher risk drinkers, defined in the source as men who consume 50 or more drinks per week and women who consume 35 or more drinks per week.  The source also uses this cost as the annual cost of a relapse during treatment.  Note that no detail is given in the source on the constituent costs that make up the overall figure, hence the amber flag.
The social value relates to the health/well-being impacts to an individual entering treatment.  This is sourced from an analysis of brief interventions delivered in GP surgeries, which found that they led to an additional 0.0233 Quality Adjusted Life Years (QALYs) per person; a value of £60,000 per QALY (2009 prices) has been used to monetise the benefit.  Note that we have not been able to source a robust value for the economic impact associated with addressing alcohol misuse ((e.g. savings from alcohol purchase; enhanced earnings).</t>
  </si>
  <si>
    <t>Social value differentiated in separate column, and comments cell revised</t>
  </si>
  <si>
    <t xml:space="preserve">Note age of data.  The data are expressed in 2005 figures in the 2007 report.  It is important to caveat the quoted, average cost - potentially values can vary significantly depending on the case.  Note comments on constituent costs below, which explain how the cost per effective year has been calculated.
The economic cost to the individual relates to lost earnings due to permanent exclusion, which is quoted 'per effective year' (this is drawn from the lifetime figure quoted in Misspent Youth, and based on a 40-year working life.  However, note that the benefits will be delayed until the child is of working age, so may not be relevant to shorter-term modelling).  </t>
  </si>
  <si>
    <t>CR1.3</t>
  </si>
  <si>
    <t>CR1.4</t>
  </si>
  <si>
    <t>Restructured / renumbered</t>
  </si>
  <si>
    <t>CR1.4.1</t>
  </si>
  <si>
    <t>CR1.4.2</t>
  </si>
  <si>
    <t>CR1.4.3</t>
  </si>
  <si>
    <t>CR1.4.4</t>
  </si>
  <si>
    <t>Restructured / renumbered, &amp; comment revised</t>
  </si>
  <si>
    <t>CR6.2</t>
  </si>
  <si>
    <t>CR6.3</t>
  </si>
  <si>
    <t>CR6.4</t>
  </si>
  <si>
    <t>CR6.5</t>
  </si>
  <si>
    <t>CR6.6</t>
  </si>
  <si>
    <t>CR6.7</t>
  </si>
  <si>
    <t>CR6.8</t>
  </si>
  <si>
    <t>CR6.9</t>
  </si>
  <si>
    <t>CR6.10</t>
  </si>
  <si>
    <t>CR8.0</t>
  </si>
  <si>
    <t>CR8.0.2</t>
  </si>
  <si>
    <t>CR8.0.3</t>
  </si>
  <si>
    <t>CR8.0.4</t>
  </si>
  <si>
    <t>CR8.0.5</t>
  </si>
  <si>
    <t>CR8.0.6</t>
  </si>
  <si>
    <t>CR8.1</t>
  </si>
  <si>
    <t>CR8.1.1</t>
  </si>
  <si>
    <t>CR8.1.2</t>
  </si>
  <si>
    <t>CR8.1.3</t>
  </si>
  <si>
    <t>CR8.1.4</t>
  </si>
  <si>
    <t>CR8.1.5</t>
  </si>
  <si>
    <t>CR8.1.6</t>
  </si>
  <si>
    <t>CR8.2</t>
  </si>
  <si>
    <t>CR8.2.1</t>
  </si>
  <si>
    <t>CR8.2.2</t>
  </si>
  <si>
    <t>CR8.2.3</t>
  </si>
  <si>
    <t>CR8.2.4</t>
  </si>
  <si>
    <t>CR8.2.5</t>
  </si>
  <si>
    <t>CR8.2.6</t>
  </si>
  <si>
    <t>CR8.3</t>
  </si>
  <si>
    <t>CR8.3.1</t>
  </si>
  <si>
    <t>CR8.3.2</t>
  </si>
  <si>
    <t>CR8.3.3</t>
  </si>
  <si>
    <t>CR8.3.4</t>
  </si>
  <si>
    <t>CR8.3.5</t>
  </si>
  <si>
    <t>CR8.3.6</t>
  </si>
  <si>
    <t>CR8.4</t>
  </si>
  <si>
    <t>CR8.4.1</t>
  </si>
  <si>
    <t>CR8.4.2</t>
  </si>
  <si>
    <t>CR8.4.3</t>
  </si>
  <si>
    <t>CR8.4.4</t>
  </si>
  <si>
    <t>CR8.4.5</t>
  </si>
  <si>
    <t>CR8.4.6</t>
  </si>
  <si>
    <t>CR8.5</t>
  </si>
  <si>
    <t>CR8.5.1</t>
  </si>
  <si>
    <t>CR8.5.2</t>
  </si>
  <si>
    <t>CR8.5.3</t>
  </si>
  <si>
    <t>CR8.5.4</t>
  </si>
  <si>
    <t>CR8.5.5</t>
  </si>
  <si>
    <t>CR8.5.6</t>
  </si>
  <si>
    <t>CR8.6</t>
  </si>
  <si>
    <t>CR8.6.1</t>
  </si>
  <si>
    <t>CR8.6.2</t>
  </si>
  <si>
    <t>CR8.6.3</t>
  </si>
  <si>
    <t>CR8.6.4</t>
  </si>
  <si>
    <t>CR8.6.5</t>
  </si>
  <si>
    <t>CR8.6.6</t>
  </si>
  <si>
    <t>CR8.7</t>
  </si>
  <si>
    <t>CR8.7.1</t>
  </si>
  <si>
    <t>CR8.7.2</t>
  </si>
  <si>
    <t>CR8.7.3</t>
  </si>
  <si>
    <t>CR8.7.4</t>
  </si>
  <si>
    <t>CR8.7.5</t>
  </si>
  <si>
    <t>CR8.8</t>
  </si>
  <si>
    <t>CR8.8.1</t>
  </si>
  <si>
    <t>CR8.8.2</t>
  </si>
  <si>
    <t>CR8.8.3</t>
  </si>
  <si>
    <t>CR8.8.4</t>
  </si>
  <si>
    <t>CR8.8.5</t>
  </si>
  <si>
    <t>CR8.9</t>
  </si>
  <si>
    <t>CR8.9.1</t>
  </si>
  <si>
    <t>CR8.9.2</t>
  </si>
  <si>
    <t>CR8.9.3</t>
  </si>
  <si>
    <t>CR8.9.4</t>
  </si>
  <si>
    <t>CR8.9.5</t>
  </si>
  <si>
    <t>CR8.10</t>
  </si>
  <si>
    <t>CR8.10.1</t>
  </si>
  <si>
    <t>CR8.10.2</t>
  </si>
  <si>
    <t>CR8.10.3</t>
  </si>
  <si>
    <t>CR8.10.4</t>
  </si>
  <si>
    <t>CR8.10.5</t>
  </si>
  <si>
    <t>CR8.11</t>
  </si>
  <si>
    <t>CR8.11.1</t>
  </si>
  <si>
    <t>CR8.11.2</t>
  </si>
  <si>
    <t>CR8.11.3</t>
  </si>
  <si>
    <t>CR8.11.4</t>
  </si>
  <si>
    <t>CR8.11.5</t>
  </si>
  <si>
    <t>CR8.12</t>
  </si>
  <si>
    <t>CR8.12.1</t>
  </si>
  <si>
    <t>CR8.12.2</t>
  </si>
  <si>
    <t>CR8.12.3</t>
  </si>
  <si>
    <t>CR8.12.4</t>
  </si>
  <si>
    <t>CR8.12.5</t>
  </si>
  <si>
    <t>CR8.13</t>
  </si>
  <si>
    <t>CR8.13.1</t>
  </si>
  <si>
    <t>CR8.13.2</t>
  </si>
  <si>
    <t>CR8.13.3</t>
  </si>
  <si>
    <t>CR8.13.4</t>
  </si>
  <si>
    <t>CR8.13.5</t>
  </si>
  <si>
    <t>CR8.13.6</t>
  </si>
  <si>
    <t>CR8.14</t>
  </si>
  <si>
    <t>CR8.14.1</t>
  </si>
  <si>
    <t>CR8.14.3</t>
  </si>
  <si>
    <t>CR8.14.4</t>
  </si>
  <si>
    <t>CR8.14.5</t>
  </si>
  <si>
    <t>CR8.15</t>
  </si>
  <si>
    <t>CR8.15.1</t>
  </si>
  <si>
    <t>CR8.15.2</t>
  </si>
  <si>
    <t>CR8.15.3</t>
  </si>
  <si>
    <t>CR8.15.4</t>
  </si>
  <si>
    <t>CR8.15.5</t>
  </si>
  <si>
    <t>CR8.16</t>
  </si>
  <si>
    <t>CR8.16.1</t>
  </si>
  <si>
    <t>CR8.16.2</t>
  </si>
  <si>
    <t>CR8.16.3</t>
  </si>
  <si>
    <t>CR8.16.4</t>
  </si>
  <si>
    <t>CR8.16.5</t>
  </si>
  <si>
    <t>CR8.17</t>
  </si>
  <si>
    <t>CR8.17.1</t>
  </si>
  <si>
    <t>CR8.17.2</t>
  </si>
  <si>
    <t>CR8.17.3</t>
  </si>
  <si>
    <t>CR8.17.4</t>
  </si>
  <si>
    <t>CR8.17.5</t>
  </si>
  <si>
    <t>CR8.18</t>
  </si>
  <si>
    <t>CR8.18.1</t>
  </si>
  <si>
    <t>CR8.18.2</t>
  </si>
  <si>
    <t>CR8.18.3</t>
  </si>
  <si>
    <t>CR8.18.4</t>
  </si>
  <si>
    <t>CR8.18.5</t>
  </si>
  <si>
    <t>CR8.19</t>
  </si>
  <si>
    <t>CR8.19.1</t>
  </si>
  <si>
    <t>CR8.19.2</t>
  </si>
  <si>
    <t>CR8.19.3</t>
  </si>
  <si>
    <t>CR8.19.4</t>
  </si>
  <si>
    <t>CR8.19.5</t>
  </si>
  <si>
    <t>CR8.14.2</t>
  </si>
  <si>
    <t>Restructured / renumbered.  Change to unit description</t>
  </si>
  <si>
    <t>New hyperlink to source</t>
  </si>
  <si>
    <t>Restructured / renumbered.  New hyperlink to source</t>
  </si>
  <si>
    <t>E&amp;S8.1</t>
  </si>
  <si>
    <t>E&amp;S12.1</t>
  </si>
  <si>
    <t>School-based emotional learning (SEL) programmes are designed to help address conduct problems in childhood; such problems lead to significant longer-term costs relating to adverse outcomes such as increased risk of criminal activity, fewer school qualifications, parenthood at a young age, unemployment, divorce or separation, substance abuse, and psychiatric disorders.  This measure represents the fiscal savings to public sector agencies derived from the delivery of SEL programmes - it is the average saving per child over a ten year period.  The research assumes that children receive the intervention aged ten years old, and start in one of three different conduct ‘health states’: no conduct problems, mild conduct problems or severe conduct problems.  The source gives a breakdown of potential savings over the ten year period, providing the following costs at different stages: year 1 (savings over the first year following delivery of the SEL programme), £83; year 5 (savings for years 1-5 after programme delivery), £2,038; year 10 (savings for years 1-10 after programme delivery), £3,206 (all at 2009-10 prices).  The average annual saving over the ten year period is £321.  Constituent costs for the individual agencies are given in the cost lines below.  
As detailed in the source (see the Education and Skills section of this database), the costs of a representative intervention, including teacher training, programme coordinator and materials were estimated as £132 per child - put alongside these potential savings, it is evident that such programmes can offer good value for money, with the overall break-even point after the first year following the intervention, and the education sector breaking even after five years.  Note that the research did not model wider outcomes such as improved academic performance, or benefits accruing to parents, siblings or other peers.
The wider economic benefits are also quoted in the source document over a ten year period, falling to non-public sector bodies/individuals: victim costs (crime), £4,912; other crime costs, £2,038; voluntary sector, £8 (see p.10 of the source report for details of how these costs are distributed over the ten year period).</t>
  </si>
  <si>
    <t>Income Support is extra money for those on a low income or none at all, who are working less than 16 hours a week and haven't signed on as unemployed.  Income Support claimants receive a basic payment (a ‘personal allowance’) and extra payments (premiums) on top of this; income and savings level determine how much is received.  The quoted data are the 'higher rate' personal allowance payment for couples both under the age of 18, available if either person is responsible for a child, or if both would be eligible for one of the following if they weren’t a couple: Employment and Support Allowance; Income Support; or Job Seeker's Allowance.  See the source website for a Benefits Adviser tool that can help calculate the premium payment individuals might receive.</t>
  </si>
  <si>
    <t>Economic cost differentiated in separate column, and comments cell revised</t>
  </si>
  <si>
    <t>This cost is sourced from the NHS PbR Tariffs 2014-15 workbook.  It is the tariff paid by health commissioners for admitted patient care and outpatient procedures for a primary total knee replacement with complications (HRG code HB21B, for 'Major Knee Procedures for non Trauma Category 2 with CC' [complications and comorbidities]; see the source worksheet '01. APC &amp; OPROC').  The source also details the tariff for a knee replacement without complications (HRG code HB21C, for 'Major Knee Procedures for non Trauma Category 2 without CC'), of £5,642 (2014-15 prices).  The costs quoted are the 'Combined day case/ordinary elective tariff', but the 'Non-elective spell' tariffs are the same.  Tariffs are also provided for Category 2 procedures with major CC, and Category 1 procedures with/without CC - see the source workbook for details.</t>
  </si>
  <si>
    <t>2014-15 tariff information spreadsheet (Department of Health, 2014), HRG code HB21B (worksheet 01. APC &amp; OPROC)</t>
  </si>
  <si>
    <t>2014-15 tariff information spreadsheet (Department of Health, 2014), HRG code HB12B (worksheet 01. APC &amp; OPROC)</t>
  </si>
  <si>
    <t>Personal Social Services: Expenditure and Unit Costs, England - 2013-14, Final Release: Unit Costs by CASSR</t>
  </si>
  <si>
    <t>Economic costs differentiated in separate column, and comments cell revised.  Costs updated to 2013-14 values</t>
  </si>
  <si>
    <t>Costs updated to 2013-14 values</t>
  </si>
  <si>
    <t>What is NHS-funded nursing care? (NHS website, 2013)</t>
  </si>
  <si>
    <t>This is the standard rate NHS contribution towards the costs of residential nursing care for those people assessed as requiring the help of a registered nurse.  In addition to the standard rate, there is also a higher rate contribution of £151.10 - see the source for the criteria for receiving the higher rate payment.</t>
  </si>
  <si>
    <t>Personal Social Services: Expenditure and Unit Costs, England - 2013-14, Final Release: Unit Costs by CASS;  and What is NHS-funded nursing care? (NHS website, 2013)</t>
  </si>
  <si>
    <t>This cost is derived from the constituent costs given below, for local authority average expenditure on the residential care element of nursing care costs, and the NHS standard rate contribution towards the costs of residential nursing care for those people assessed as requiring the help of a registered nurse.  See the comment cells below for information on the derivation of the data (including the cost of the higher rate NHS contribution, which could be used if required to derive an alternative higher rate headline fiscal value of £507), and caveats to its robustness and transferability.  This is the gross average cost of nursing home provision; as detailed below, an estimated third of clients self-fund the (local authority) residential care element - this gives a net total cost (the fiscal cost to local authorities and the NHS combined) of £466 based on the standard-rate NHS contribution (all prices are 2013/14).
See the comment cell for SS7.0 for the overall rationale behind the split between fiscal and economic values, which has been applied to the ongoing care costs (revenue) detailed under the constituent cost line SS7.1.3.  The same rationale does not apply to the nursing care costs outlined under SS8.0.2, which are treated solely as fiscal costs falling to the NHS.</t>
  </si>
  <si>
    <t>Not updated in subsequent editions of the PSSRU Unit Costs</t>
  </si>
  <si>
    <t>Updated with values from PSSRU 2014 publication</t>
  </si>
  <si>
    <t>Unit Costs of Health &amp; Social Care 2014 (Curtis, 2014), p.88</t>
  </si>
  <si>
    <t>Constituent costs are detailed below.  Note that costs related to other services for fostered children (including health, education, law and order) are not included - the 2011 edition of the source document (p.76) quotes an average value for these services at £65 per child per week (2013-14 prices).  The source indicates that a London multiplier of 1.72 can be applied to the 'boarding out allowances and administration' element of the quoted (Out of London) cost - see the first constituent entry (SS2.0.1).</t>
  </si>
  <si>
    <t>Child into local authority foster care (cost per week): boarding out allowances, administration and the cost of social worker/staff support to foster carers</t>
  </si>
  <si>
    <t>Child into local authority foster care (cost per week): social services (including cost of social worker and support relating directly to the fostered child)</t>
  </si>
  <si>
    <t>Unit Costs of Health &amp; Social Care 2014 (Curtis, 2014), p.86</t>
  </si>
  <si>
    <t>This is the average cost per resident per week of local authority care home provision for children.  The figure quoted here is the total care package cost per resident week; it is derived from: capital costs (buildings, land) at £163 per resident week; total expenditure excluding capital (e.g. including workforce costs) at £2,831 per resident week (all at 13-14 prices).  Note that the cost of external services is not included in this version of the source - the Unit Costs of Health &amp; Social Care 2011 publication gives a cost for external services (including health services, social services, youth justice sector, education sector) of £198 per resident week (2010-11 prices; see p.74 of the 2011 source document for a breakdown across these service areas).  London multiplier data are provided - for details of these and how the multipliers should be applied across the constituent elements, see the 2014 source document, p.86.</t>
  </si>
  <si>
    <t>Voluntary and private sector residential care home for children - cost per week</t>
  </si>
  <si>
    <t>Unit Costs of Health &amp; Social Care 2014 (Curtis, 2014), p.87</t>
  </si>
  <si>
    <t>This is the average cost per resident per week of care home provision for children by non-statutory providers (voluntary, private and independent sector-run homes).  The figure quoted here is the total care package cost per resident week; it is derived from: capital costs (buildings, land) at £163 per resident week; total expenditure excluding capital (e.g. including workforce costs) at £2,784 per resident week (all prices are 2013-14). Note that the cost of external services is not included in this version of the source - the Unit Costs of Health &amp; Social Care 2011 publication gives a cost for external services (including health services, social services, youth justice sector, education sector, private sector costs) of £86 per resident week (2010-11 prices; see p.75 of the 2011 source document for a breakdown across these service areas).  London multiplier data are provided - for details of these and how the multipliers should be applied across the constituent elements, see the 2014 source document, p.87.</t>
  </si>
  <si>
    <t>Unit Costs of Health &amp; Social Care 2014 (Curtis, 2014), p.35</t>
  </si>
  <si>
    <t>This cost comprises the constituent elements detailed below.  The source indicates that, if required, a London multiplier of 1.32 can be applied to the bulk of the overall cost, the revenue costs (see constituent cost line below; all the costs quoted here are for out-of-London provision).  The source also details personal living expenses costs of £23.90 per week (2013-14 prices), which is the Department for Work and Pensions (DWP) personal allowance for people in residential care or a nursing home, used as a proxy for personal consumption.  This sum is not included in the overall cost quoted here, nor in the constituent costs below, but can be added in if required.  Note that this cost is considerably above the headline cost for residential care for older people (SS7.0), and was considered by practitioners consulted as part of the cost database development process to be for a high level of care - it is included both to highlight the potential range of values, and to indicate the type of constituent costs that make up the overall value.
See the comment cell for SS7.0 for the overall rationale behind the split between fiscal and economic values, which has been applied to the ongoing care costs (revenue) detailed under the constituent cost line SS7.1.3.  The same rationale does not apply to the building/land costs outlined under SS7.1.1 and SS7.1.2, which are treated solely as fiscal costs.</t>
  </si>
  <si>
    <t>Note from the source: based on research by the Valuation Office Agency.  The cost of land has been annuitised at 3.5 per cent over 60 years.</t>
  </si>
  <si>
    <t>This cost represents more than 90% of the overall value quoted above.  A London multiplier of 1.32 can be applied to the figure quoted here, which is for out-of-London revenue costs (see the source document).  A new overall weekly cost can then be calculated by adding the new revenue figure to the other two constituent costs quoted.  
The source notes that the median revenue cost estimate is taken from PSS EX1 2012/13, uprated using the PSS Pay &amp; Prices Index.  Capital charges relating to buildings and on-costs have been deducted.  The mean public value (total of the fiscal and economic cost) was £839 per week, with an interquartile range of £766-£1,304 (2013-14 prices).
See the comment cell to the entry at SS7.0 for the rationale behind the split between fiscal and economic costs.</t>
  </si>
  <si>
    <t>Economic costs differentiated in separate column, and comments cell revised.  Costs updated to values in PSSRU 2014 publication</t>
  </si>
  <si>
    <t>Costs updated to values in PSSRU 2014 publication</t>
  </si>
  <si>
    <t>Unit Costs of Health &amp; Social Care 2014 (Curtis, 2014), p.41</t>
  </si>
  <si>
    <t>Income Support is extra money for those on a low income or none at all, who are working less than 16 hours a week and haven't signed on as unemployed.  Income Support claimants receive a basic payment (a ‘personal allowance’) and extra payments (premiums) on top of this; income and savings level determine how much is received.  The quoted data are the personal allowance payment; see the source website for a Benefits Adviser tool that can help calculate the premium payment individuals might receive.</t>
  </si>
  <si>
    <t>Income Support: 
Couple - one under 18, one over 18, 'higher rate'</t>
  </si>
  <si>
    <t>Income Support is extra money for those on a low income or none at all, who are working less than 16 hours a week and haven't signed on as unemployed.  Income Support claimants receive a basic payment (a ‘personal allowance’) and extra payments (premiums) on top of this; income and savings level determine how much is received.  The quoted data are the 'higher rate' personal allowance payment for couples, one of whom is aged under 18, and the other over; the higher rate is available if either person is responsible for a child, or if both would be eligible for one of the following if they weren’t a couple: Employment and Support Allowance; Income Support; or Job Seeker's Allowance.  See the source website for a Benefits Adviser tool that can help calculate the premium payment individuals might receive.</t>
  </si>
  <si>
    <t>Disability Living Allowance (HISTORIC)
Care component: highest</t>
  </si>
  <si>
    <t>Disability Living Allowance (HISTORIC)
Care component: middle</t>
  </si>
  <si>
    <t>Disability Living Allowance (HISTORIC)
Care component: lowest</t>
  </si>
  <si>
    <t>Disability Living Allowance (HISTORIC)
Mobility component: higher</t>
  </si>
  <si>
    <t>Disability Living Allowance (HISTORIC)
Mobility component: lower</t>
  </si>
  <si>
    <t>Disability Living Allowance (HISTORIC)
Cost of maintaining claims</t>
  </si>
  <si>
    <t>Carer's Allowance (GOV.UK, February 2015)</t>
  </si>
  <si>
    <t>Carers Allowance is a regular payment for carers to help look after someone with substantial caring needs - involving caring for at least 35 hours a week (see source for other eligibility criteria).</t>
  </si>
  <si>
    <t>Attendance Allowance (GOV.UK, February 2015)</t>
  </si>
  <si>
    <t>Personal Independence Payment
Mobility component: enhanced</t>
  </si>
  <si>
    <t>Personal Independence Payment
Mobility component: lower</t>
  </si>
  <si>
    <t>Personal Independence Payment
Daily living component: enhanced</t>
  </si>
  <si>
    <t>Personal Independence Payment
Daily living component: standard</t>
  </si>
  <si>
    <t>Based on 100 case studies in 2003. Calculated net costs in the present study, that is, the costs of staff time and travel costs that can directly be attributed to cases. These net costs exclude organisational overheads, that is, building and office costs, staff training, and central services such as personnel.  This is an average cost of local authority mediation in neighbourhood disputes, across the range of types of dispute and cost that are detailed in the constituent entries below.</t>
  </si>
  <si>
    <t>Personal Independence Payment (PIP) (GOV.UK, February 2015)</t>
  </si>
  <si>
    <t>Disability Living Allowance (DLA) for Adults (GOV.UK, January 2015)</t>
  </si>
  <si>
    <t>Updated with benefit values for 2014-15.  'Cost/Saving detail' and 'Comment' cells revised to reflect change in DLA status.  Renumbered</t>
  </si>
  <si>
    <t>Renumbered</t>
  </si>
  <si>
    <t>Updated with benefit values for 2014-15.  Renumbered</t>
  </si>
  <si>
    <t>Personal Independence Payment (PIP) is a regular payment for disabled adults who need help with the extra costs caused by long-term ill health or disability.  PIP started to replace Disability Living Allowance (DLA) for people aged 16 to 64 from 8 April 2013.  
PIP has a Care Component and/or a Mobility Component.  The amounts paid depend upon how the claimants disability or health condition affects them, with weekly payments varying between £21.55 and £138.05 (2014/15 prices).  Decisions over whether claimants receive both or just one of the component elements are based on an assessment, which also determines whether the enhanced or standard rates are paid.  See the source website for more information eligibility.</t>
  </si>
  <si>
    <t>Disability Living Allowance for Children
Care component: highest</t>
  </si>
  <si>
    <t>Disability Living Allowance for Children
Care component: middle</t>
  </si>
  <si>
    <t>Disability Living Allowance for Children
Care component: lowest</t>
  </si>
  <si>
    <t>Disability Living Allowance for Children
Mobility component: higher</t>
  </si>
  <si>
    <t>Disability Living Allowance for Children
Mobility component: lower</t>
  </si>
  <si>
    <t>Disability Living Allowance (DLA) for Children (GOV.UK, January 2015)</t>
  </si>
  <si>
    <t>Disability Living Allowance (DLA) is a regular payment for disabled adults who need help with the extra costs caused by a disability; it is now a historic benefit, with new claimants either claiming Disability Living Allowance for Children, or if an adult, Personal Independence Payment (PIP).  DLA has a Care Component and/or a Mobility Component.  The amounts paid depend upon how the claimant's disability or health condition affects them.  The highest Care Component rate is paid to people needing help or supervision throughout both day and night, or who are terminally ill.</t>
  </si>
  <si>
    <t>Disability Living Allowance (DLA) is a regular payment for disabled adults who need help with the extra costs caused by a disability; it is now a historic benefit, with new claimants either claiming Disability Living Allowance for Children, or if an adult, Personal Independence Payment (PIP).  It has a Care Component and/or a Mobility Component.  The amounts paid depend upon how the claimant's disability or health condition affects them.  The middle Care Component rate is paid to people needing frequent help or constant supervision during the day, supervision at night, or someone to help them while on dialysis.</t>
  </si>
  <si>
    <t>Disability Living Allowance (DLA) is a regular payment for disabled adults who need help with the extra costs caused by a disability; it is now a historic benefit, with new claimants either claiming Disability Living Allowance for Children, or if an adult, Personal Independence Payment (PIP).  It has a Care Component and/or a Mobility Component.  The amounts paid depend upon how the claimant's disability or health condition affects them.  The lowest Care Component rate is paid to people needing help for some of the day or with preparing cooked meals.</t>
  </si>
  <si>
    <t>Disability Living Allowance (DLA) is a regular payment for disabled adults who need help with the extra costs caused by a disability; it is now a historic benefit, with new claimants either claiming Disability Living Allowance for Children, or if an adult, Personal Independence Payment (PIP).  It has a Care Component and/or a Mobility Component.  The amounts paid depend upon how the claimant's disability or health condition affects them.  The higher Mobility Component rate is paid to people who have any other, more severe, walking difficulty (over and above the need for guidance or supervision outdoors, as defined for the lower rate).</t>
  </si>
  <si>
    <t>Disability Living Allowance (DLA) is a regular payment for disabled adults who need help with the extra costs caused by a disability; it is now a historic benefit, with new claimants either claiming Disability Living Allowance for Children, or if an adult, Personal Independence Payment (PIP).  It has a Care Component and/or a Mobility Component.  The amounts paid depend upon how the claimant's disability or health condition affects them.  The lower Mobility Component rate is paid to people who need guidance or supervision outdoors.</t>
  </si>
  <si>
    <t>Disability Living Allowance (DLA) for Children is a regular payment to support the extra costs of looking after a child (aged under 16) who has difficulty walking or needs more looking after than a child of the same age who doesn’t have a disability.  It has a Care Component and/or a Mobility Component.  The amounts paid depend upon how the level of help the child needs, with weekly payments varying between £21.55 and £138.05 (2014/15 prices).  Decisions over whether claimants receive both or just one of the component elements are based on an assessment, which also determines whether the enhanced or standard rates are paid.  See the source website for more information eligibility.  The highest Care Component rate is paid to children needing help or supervision throughout both day and night, or who are terminally ill.</t>
  </si>
  <si>
    <t>Number of entries changed</t>
  </si>
  <si>
    <t>Disability Living Allowance (DLA) for Children is a regular payment to support the extra costs of looking after a child (aged under 16) who has difficulty walking or needs more looking after than a child of the same age who doesn’t have a disability.  It has a Care Component and/or a Mobility Component.  The amounts paid depend upon how the level of help the child needs, with weekly payments varying between £21.55 and £138.05 (2014/15 prices).  Decisions over whether claimants receive both or just one of the component elements are based on an assessment, which also determines whether the enhanced or standard rates are paid.  See the source website for more information eligibility.  The middle Care Component rate is paid to children needing frequent help or constant supervision during the day, supervision at night, or someone to help them while on dialysis.</t>
  </si>
  <si>
    <r>
      <rPr>
        <b/>
        <sz val="10"/>
        <rFont val="Arial"/>
        <family val="2"/>
      </rPr>
      <t>Not in Employment Education or Training (NEET)
Average cost per 18-24 year old NEET</t>
    </r>
  </si>
  <si>
    <r>
      <rPr>
        <sz val="10"/>
        <rFont val="Arial"/>
        <family val="2"/>
      </rPr>
      <t>Not in Employment Education or Training (NEET)
Average cost per 16-17 year old NEET- fiscal cost to DWP</t>
    </r>
  </si>
  <si>
    <r>
      <rPr>
        <sz val="10"/>
        <rFont val="Arial"/>
        <family val="2"/>
      </rPr>
      <t>Not in Employment Education or Training (NEET)
Average cost per 16-17 year old NEET - fiscal cost to HMRC</t>
    </r>
  </si>
  <si>
    <r>
      <rPr>
        <sz val="10"/>
        <rFont val="Arial"/>
        <family val="2"/>
      </rPr>
      <t>Not in Employment Education or Training (NEET)
Average cost per 16-17 year old NEET</t>
    </r>
  </si>
  <si>
    <t>This cost has been calculated from data in the source report on the total cost of 16-17 year old NEETs (young people not in education, employment and training) to the national exchequer divided by the number of NEETs nationally.  The fiscal value comprises benefit payments (worklessness and housing benefits) falling to the Department for Work and Pensions (DWP), and child tax credit payments falling to HM Revenue and Customs (HMRC).  Also relevant here is a negative value associated with HMRC payment of working tax credits resulting from NEETs moving into low salaried work; as this outweighs the average child tax credit payments, and hence there is no net benefit to HMRC, 100% of the fiscal value should be allocated to DWP.  In contrast to the subsidiary entry below, which gives the future fiscal cost to the Exchequer associated with NEET status as a young person, this is the fiscal cost whilst the individual young person is currently NEET.
The economic value represents the loss of earnings to the individual young person whilst NEET.  As with the fiscal value, note that it is a current cost, in contrast to the subsidiary entry below which gives the future annual economic cost to the individual.  A social value has not been quantified.
An amber flag has been allocated in recognition of the global, top-down nature of the calculation, and the lack of consideration of wider fiscal elements such as costs associated with the health and/or crime impacts of being NEET.</t>
  </si>
  <si>
    <r>
      <rPr>
        <sz val="10"/>
        <rFont val="Arial"/>
        <family val="2"/>
      </rPr>
      <t>Not in Employment Education or Training (NEET)
Average future annual cost per individual related to earlier NEET status - females</t>
    </r>
  </si>
  <si>
    <r>
      <rPr>
        <sz val="10"/>
        <rFont val="Arial"/>
        <family val="2"/>
      </rPr>
      <t>Not in Employment Education or Training (NEET)
Average future annual costs per individual related to earlier NEET status - males</t>
    </r>
  </si>
  <si>
    <r>
      <rPr>
        <sz val="10"/>
        <rFont val="Arial"/>
        <family val="2"/>
      </rPr>
      <t>Not in Employment Education or Training (NEET)
Average future annual costs per individual related to earlier NEET status - males; fiscal cost to DWP</t>
    </r>
  </si>
  <si>
    <r>
      <rPr>
        <sz val="10"/>
        <rFont val="Arial"/>
        <family val="2"/>
      </rPr>
      <t>Not in Employment Education or Training (NEET)
Average future annual costs per individual related to earlier NEET status - males; fiscal cost to HMRC</t>
    </r>
  </si>
  <si>
    <t>This is the element of the above fiscal cost falling to the Department for Work and Pensions.  It relates to benefits payments associated with spells of future worklessness as a result of time spent NEET as a young male.</t>
  </si>
  <si>
    <t>This is the element of the above fiscal cost falling to HM Revenue and Customs.  It relates to foregone tax and National Insurance payments associated with time spent NEET as a young male, resulting from lower wages (£1,335 pa at 2010/11 prices) and future worklessness (£1,091).</t>
  </si>
  <si>
    <r>
      <rPr>
        <sz val="10"/>
        <rFont val="Arial"/>
        <family val="2"/>
      </rPr>
      <t>Not in Employment Education or Training (NEET)
Average future annual costs per individual related to earlier NEET status - females; fiscal cost to HMRC</t>
    </r>
  </si>
  <si>
    <r>
      <rPr>
        <sz val="10"/>
        <rFont val="Arial"/>
        <family val="2"/>
      </rPr>
      <t>Not in Employment Education or Training (NEET)
Average future annual costs per individual related to earlier NEET status - females; fiscal cost to DWP</t>
    </r>
  </si>
  <si>
    <t>This is the element of the above fiscal cost falling to the Department for Work and Pensions.  It relates to benefits payments associated with spells of future worklessness as a result of time spent NEET as a young female.</t>
  </si>
  <si>
    <t>This is a specific cost for males who were NEET (not in education, employment and training) earlier in life; it has been calculated from data in the source report on the total cost of NEETs to the national exchequer divided by the number of NEETs nationally.  In contrast to the values quoted above that represent the current cost to the individual young person whilst NEET, this gives the average future annual costs associated with having been NEET as a young person.
The fiscal value comprises the additional benefit payments made by the Department for Work and Pensions (DWP) in respect of future worklessness resulting from time spent NEET, together with tax and national insurance payments foregone by HM Revenue and Customs (HMRC) relating to both lower wages and future worklessness.
The economic value represents the future annual cost to the individual related to having been NEET, constituting earnings lost (£3,337 pa, 2010-11 prices) and the cost of later workless spells (£3,636).  A social value has not been quantified.
An amber flag has been allocated in recognition of the global, top-down nature of the calculation, and the lack of consideration of wider fiscal elements such as costs associated with the health and/or crime impacts of being NEET.</t>
  </si>
  <si>
    <t>This is a specific cost for females who were NEET (not in education, employment and training) earlier in life; it has been calculated from data in the source report on the total cost of NEETs to the national exchequer divided by the number of NEETs nationally.  In contrast to the values quoted above that represent the current cost to the individual young person whilst NEET, this gives the average future annual costs associated with having been NEET as a young person.
The fiscal value comprises the additional benefit payments made by the Department for Work and Pensions (DWP) in respect of future worklessness resulting from time spent NEET, together with tax and national insurance payments foregone by HM Revenue and Customs (HMRC) relating to both lower wages and future worklessness.
The economic value represents the future annual cost to the individual related to having been NEET, constituting earnings lost (£1,779 pa, 2010/11 prices) and the cost of later workless spells (£2,726).  A social value has not been quantified.
An amber flag has been allocated in recognition of the global, top-down nature of the calculation, and the lack of consideration of wider fiscal elements such as costs associated with the health and/or crime impacts of being NEET.</t>
  </si>
  <si>
    <t>This is the element of the above fiscal cost falling to HM Revenue and Customs.  It relates to foregone tax and National Insurance payments associated with time spent NEET as a young female, resulting from lower wages (£712 pa at 2010/11 prices) and future worklessness (£818).</t>
  </si>
  <si>
    <t>E&amp;E3.8</t>
  </si>
  <si>
    <t>E&amp;E3.9</t>
  </si>
  <si>
    <t>E&amp;E6.3</t>
  </si>
  <si>
    <t>E&amp;E7.2</t>
  </si>
  <si>
    <t>E&amp;E7.3</t>
  </si>
  <si>
    <t>E&amp;E7.4</t>
  </si>
  <si>
    <t>E&amp;E7.5</t>
  </si>
  <si>
    <t>E&amp;E7.6</t>
  </si>
  <si>
    <t>E&amp;E9.0</t>
  </si>
  <si>
    <t>E&amp;E9.1</t>
  </si>
  <si>
    <t>E&amp;E9.2</t>
  </si>
  <si>
    <t>E&amp;E10.0</t>
  </si>
  <si>
    <t>E&amp;E10.1</t>
  </si>
  <si>
    <t>E&amp;E10.0.1</t>
  </si>
  <si>
    <t>E&amp;E10.0.2</t>
  </si>
  <si>
    <t>E&amp;E10.2</t>
  </si>
  <si>
    <t>E&amp;E10.3</t>
  </si>
  <si>
    <t>E&amp;E10.3.1</t>
  </si>
  <si>
    <t>E&amp;E10.3.2</t>
  </si>
  <si>
    <t>E&amp;E10.4</t>
  </si>
  <si>
    <t>NEETs</t>
  </si>
  <si>
    <t>E&amp;E6.4</t>
  </si>
  <si>
    <t>E&amp;E10.2.1</t>
  </si>
  <si>
    <t>E&amp;E10.2.2</t>
  </si>
  <si>
    <t>Fiscal value very slightly changed.  New agency split (see comment cell) and economic value, and comment cell revised.  Renumbered</t>
  </si>
  <si>
    <t>Disability Living Allowance (DLA) for Children is a regular payment to support the extra costs of looking after a child (aged under 16) who has difficulty walking or needs more looking after than a child of the same age who doesn’t have a disability.  It has a Care Component and/or a Mobility Component.  The amounts paid depend upon how the level of help the child needs, with weekly payments varying between £21.55 and £138.05 (2014/15 prices).  Decisions over whether claimants receive both or just one of the component elements are based on an assessment, which also determines whether the enhanced or standard rates are paid.  See the source website for more information eligibility.  The lowest Care Component rate is paid to children needing help for some of the day or night.</t>
  </si>
  <si>
    <t>Disability Living Allowance (DLA) for Children is a regular payment to support the extra costs of looking after a child (aged under 16) who has difficulty walking or needs more looking after than a child of the same age who doesn’t have a disability.  It has a Care Component and/or a Mobility Component.  The amounts paid depend upon how the level of help the child needs, with weekly payments varying between £21.55 and £138.05 (2014/15 prices).  Decisions over whether claimants receive both or just one of the component elements are based on an assessment, which also determines whether the enhanced or standard rates are paid.  See the source website for more information eligibility.  The higher Mobility Component rate is paid to children who can’t walk, can only walk a short distance without severe discomfort, could become very ill if they try to walk, or who are blind or severely sight impaired.</t>
  </si>
  <si>
    <t>Disability Living Allowance (DLA) for Children is a regular payment to support the extra costs of looking after a child (aged under 16) who has difficulty walking or needs more looking after than a child of the same age who doesn’t have a disability.  It has a Care Component and/or a Mobility Component.  The amounts paid depend upon how the level of help the child needs, with weekly payments varying between £21.55 and £138.05 (2014/15 prices).  Decisions over whether claimants receive both or just one of the component elements are based on an assessment, which also determines whether the enhanced or standard rates are paid.  See the source website for more information eligibility.  The lower Mobility Component rate is paid to children who can walk but need help and/or supervision when outdoors.</t>
  </si>
  <si>
    <t>This cost covers many interactions with people across the duration of their claim, including part of the fortnightly 'signing' meeting, contacts about changes of circumstances or compliance checks that could affect eligibility, and the investigation of potential fraud and error. It also includes the fortnightly making of payments and queries about non-receipt.  The quoted data represent the total cost for all aspects of maintaining an application after the point that payments commence, including those of terminating a claim.</t>
  </si>
  <si>
    <t>(updated value not available)</t>
  </si>
  <si>
    <t>Updated with values for 2013-14</t>
  </si>
  <si>
    <t>This cost covers many interactions with people and third parties, such as medical professionals, across the duration of a claim.  It includes medical reviews, contacts about changes of circumstances or compliance checks that could affect eligibility, the investigation of potential fraud and error, and dealings with appeals against decisions made. It also includes the fortnightly making of payments and any queries about non-receipt.  The quoted data represent the total cost for all aspects of maintaining an application after the point that it is awarded, including those of terminating a claim.</t>
  </si>
  <si>
    <t>This cost covers many interactions including contacts about changes of circumstances or compliance checks that could affect eligibility, and the investigation of potential fraud and error. It also includes the fortnightly making of payments and any queries about non-receipt.  The quoted data represent the total cost for all aspects of maintaining an application after the point that it is awarded, including those of terminating a claim.</t>
  </si>
  <si>
    <t>Updated with values for 2013-14.  Renumbered</t>
  </si>
  <si>
    <t>This cost covers many interactions with people across the duration of their claim. It includes contacts about changes of circumstances or compliance checks that could affect eligibility, and the investigation of potential fraud and error. It also includes the making of payments and queries about non-receipt.  The quoted data represent the total cost for all aspects of maintaining an application after the point that it is awarded, including those of terminating a claim.</t>
  </si>
  <si>
    <t>This cost covers many interactions with people across the duration of their claim. It includes contacts about changes of circumstances or compliance checks that could affect eligibility, and the investigation of potential fraud and error. It also includes the making of payments and queries about non-receipt. The quoted data include the cost of all aspects of maintaining an application after the point that it is awarded, including those of terminating a claim.</t>
  </si>
  <si>
    <t>Carer's Allowance
Weekly payment</t>
  </si>
  <si>
    <t>Carer's Allowance
Cost of maintaining claims</t>
  </si>
  <si>
    <t>Carer's Allowance
Cost of processing each new claim for Carer's Allowance</t>
  </si>
  <si>
    <t>New claims involve several interactions with the applicant and third parties such as medical staff to, for example, assemble evidence to validate identity and eligibility in line with benefit regulations and fraud avoidance strategies, issue National Insurance numbers if the applicant does not have one, and deal with any appeals against the decisions made.  The quoted data represent the total cost for all aspects of processing an application up to the point that payments commence, but exclude the ongoing costs of maintaining a claim after this point (see subsidiary cost below).</t>
  </si>
  <si>
    <t>This is the element of the above fiscal cost falling to the Department of Work and Pensions.  It relates to worklessness and housing benefit payments.</t>
  </si>
  <si>
    <t>Fiscal value very slightly changed.  New agency split and economic value (see new constituent entries below), and comments cell revised.  Renumbered</t>
  </si>
  <si>
    <t>HM Revenue and Customs</t>
  </si>
  <si>
    <t>This is the element of the above fiscal cost falling to HM Revenue and Customs.  It relates to payments of Working Tax Credits and Child Tax Credits.</t>
  </si>
  <si>
    <t>This cost has been calculated from data in the source report on the total cost of 18-24 year old NEETs (young people not in education, employment and training) to the national exchequer divided by the number of NEETs nationally.  The fiscal value comprises benefit payments (worklessness and housing benefits) falling to the Department of Work and Pensions, and foregone tax and national insurance receipts falling to HM Revenue and Customs (also relevant here is a negative value associated with payment of working tax credits resulting from NEETs moving into low salaried work, and payment of child tax credits).  In contrast to the subsidiary entry below, which gives the future fiscal cost to the Exchequer associated with NEET status as a young person, this is the fiscal cost whilst the individual young person is currently NEET.
The economic value represents the loss of earnings to the individual young person whilst NEET.  As with the fiscal value, note that it is a current cost, in contrast to the subsidiary entry below which gives the future annual economic cost to the individual.  A social value has not been quantified.
An amber flag has been allocated in recognition of the global, top-down nature of the calculation, and the lack of consideration of wider fiscal elements such as costs associated with the health and/or crime impacts of being NEET.</t>
  </si>
  <si>
    <t>This shows the additional trainee product - i.e. the economic value to business.  See the report for details on lag and drop off by sector. NOTE: apprentices will not achieve this full impact in Year 1</t>
  </si>
  <si>
    <t>Updated with benefit values for 2014-15</t>
  </si>
  <si>
    <t>Job-Seekers Allowance and low income benefits (GOV.UK, February 2015)</t>
  </si>
  <si>
    <t>Job Seeker's Allowance - single aged 18-24</t>
  </si>
  <si>
    <t>Job Seeker's Allowance 
Income-based allowance - single 25 or over</t>
  </si>
  <si>
    <t>Employment and Support Allowance (GOV.UK, January 2015)</t>
  </si>
  <si>
    <t>Job Seeker's Allowance 
Contribution-based allowance - aged 18-24, maximum payment</t>
  </si>
  <si>
    <t>Job Seeker's Allowance 
Contribution-based allowance - aged 25 and over, maximum payment</t>
  </si>
  <si>
    <t>Jobseekers Allowance (JSA) is the main benefit for people who are out of work and seeking employment. There are two types - income-based (if the claimant does not have sufficient National Insurance contributions, but is on a low income), or contribution-based (if the claimant has paid sufficient National Insurance Class 1 contributions over the preceding two years).  This is the maximum weekly contribution-based payment for claimants aged 25 and over.  Contribution-based payments will be made for a maximum of 182 days, following which the claimant may be eligible for income-based payments.</t>
  </si>
  <si>
    <t>Jobseekers Allowance (JSA) is the main benefit for people who are out of work and seeking employment. There are two types - income-based (if the claimant does not have sufficient National Insurance contributions, but is on a low income), or contribution-based (if the claimant has paid sufficient National Insurance Class 1 contributions over the preceding two years).  This is the maximum weekly contribution-based payment for claimants aged 16-24.  Contribution-based payments will be made for a maximum of 182 days, following which the claimant may be eligible for income-based payments.</t>
  </si>
  <si>
    <t xml:space="preserve">ESA claimants who have been claiming for 13 weeks progress to the support group if they are assessed as unable to work in the Work Capability Assessment - i.e. their illness or disability severely limits what they can do.  </t>
  </si>
  <si>
    <t>Income Support (GOV.UK, January 2015)</t>
  </si>
  <si>
    <t>Income Support: 
Couple - both under 18, 'higher rate'</t>
  </si>
  <si>
    <r>
      <t xml:space="preserve">This is the average weekly cost per client of intermediate care, based on costs for four intermediate care schemes based in residential homes.  The average annual cost per client (presumably for a typical intermediate care package of approximately six weeks), across all four schemes, is quoted in the source as £3,374.  The four care schemes are as follows (Schemes 1-3 are social care only; Scheme 4 includes social and health care): </t>
    </r>
    <r>
      <rPr>
        <b/>
        <sz val="10"/>
        <color indexed="8"/>
        <rFont val="Arial"/>
        <family val="2"/>
      </rPr>
      <t>Scheme 1</t>
    </r>
    <r>
      <rPr>
        <sz val="10"/>
        <color indexed="8"/>
        <rFont val="Arial"/>
        <family val="2"/>
      </rPr>
      <t xml:space="preserve">: a therapeutic programme of recuperative care with 16 recuperative beds.  Care staff includes care workers, a senior night carer and rehabilitation workers.  Cost per week per client = £843; average annual cost per client = £3,588; cost of typical client episode = £4,094.  </t>
    </r>
    <r>
      <rPr>
        <b/>
        <sz val="10"/>
        <color indexed="8"/>
        <rFont val="Arial"/>
        <family val="2"/>
      </rPr>
      <t>Scheme 2</t>
    </r>
    <r>
      <rPr>
        <sz val="10"/>
        <color indexed="8"/>
        <rFont val="Arial"/>
        <family val="2"/>
      </rPr>
      <t xml:space="preserve">: provided by the local authority for people with dementia.  A fee is paid by the local authority for care staff.  Cost per week per client = £528; average annual cost per client = £5,398; cost of typical client episode = £4,073.  </t>
    </r>
    <r>
      <rPr>
        <b/>
        <sz val="10"/>
        <color indexed="8"/>
        <rFont val="Arial"/>
        <family val="2"/>
      </rPr>
      <t>Scheme 3</t>
    </r>
    <r>
      <rPr>
        <sz val="10"/>
        <color indexed="8"/>
        <rFont val="Arial"/>
        <family val="2"/>
      </rPr>
      <t xml:space="preserve">: short-stay residential home for people having difficulty managing at home, or who have been recently discharged from hospital or are considering entry to a residential care home.  A fee is paid by the local authority for care staff.  Cost per week per client = £414; average annual cost per client = £2,700; cost of typical client episode = £2,693.  </t>
    </r>
    <r>
      <rPr>
        <b/>
        <sz val="10"/>
        <color indexed="8"/>
        <rFont val="Arial"/>
        <family val="2"/>
      </rPr>
      <t xml:space="preserve">Scheme 4: </t>
    </r>
    <r>
      <rPr>
        <sz val="10"/>
        <color indexed="8"/>
        <rFont val="Arial"/>
        <family val="2"/>
      </rPr>
      <t>run by the local authority in conjunction with the primary care trust, providing six weeks of support and rehabilitation to older people who have the potential to return to their own home after a stay in hospital.  Staff include a care manager, therapists, a visiting medical officer and promoting independence assistants.  Cost per week per client = £576; average annual cost per client = £3,453; cost of typical client episode = £2,634.  Costs for all the schemes include salaries and on-costs (e.g. national insurance, pensions), and overheads (running costs, supplies, management, capital/premises).  Note that whilst these costs differ from the headline cost for intermediate care provision (SS9.0), they have been included to give an indication of the variability of costs by type of care scenario.  All costs quoted here are at 2013-14 prices.</t>
    </r>
  </si>
  <si>
    <t>This is the cost per hour for a children's services social worker's time excluding qualification costs, calculated pro-rata from data on mean salary and working hours, on-costs (national insurance, pensions), overheads (administration, management, office, training, utilities, general management and support services such as finance and HR) and capital costs.  The source also gives the cost per hour of client-related work as £55, excluding qualification costs.  The data are national averages - multipliers are provided, for use in calculating average costs for London and out-of-London.  Related data are given above for cost per hour including qualification costs.  All costs quoted here are at 2013-4 prices.</t>
  </si>
  <si>
    <t>Unit Costs of Health &amp; Social Care 2014 (Curtis, 2014), p.205</t>
  </si>
  <si>
    <t>This is the cost per hour for a social worker team leader/senior practitioner/senior social worker's time including qualification costs, calculated pro-rata from data on mean salary and working hours, on-costs (national insurance, pensions), overheads (administration, management, office, training, utilities, general management and support services such as finance and HR), capital and qualification costs.  The source also gives the cost per hour of client-related work as £93, including qualification costs.  The data are national averages - multipliers are provided, for use in calculating average costs for London and out-of-London.  Related data are given below for cost per hour without qualification costs.  All costs quoted here are at 2013-14 prices.</t>
  </si>
  <si>
    <t>This is the cost per hour for a social worker team leader/senior practitioner/senior social worker's time excluding qualification costs, calculated pro-rata from data on mean salary and working hours, on-costs (national insurance, pensions), overheads (administration, management, office, training, utilities, general management and support services such as finance and HR) and capital costs.  The source also gives the cost per hour of client-related work as £70, excluding qualification costs.  The data are national averages - multipliers are provided, for use in calculating average costs for London and out-of-London.  Related data are given above for cost per hour including qualification costs.  All costs quoted here are at 2013-14 prices.</t>
  </si>
  <si>
    <t>Unit Costs of Health &amp; Social Care 2014 (Curtis, 2014), p.208</t>
  </si>
  <si>
    <t>This is the cost per hour for a local authority-employed Home Care Worker, calculated pro-rata from data on mean salary and working hours, on-costs (national insurance, pensions), overheads (administration, management, office, training, utilities, general management and support services such as finance and HR) and capital costs.  Note that the hourly cost of a Home Care Worker from the independent sector is £15; the overall average for all Home Care Workers (either LA-funded or independent) was £17.  Variants on this overall average are given in the source for cost per hour when working evenings or weekends.  All costs quoted here are at 2013-14 prices.</t>
  </si>
  <si>
    <t>Unit Costs of Health &amp; Social Care 2014 (Curtis, 2014), p.209</t>
  </si>
  <si>
    <t>This is the overall cost per hour including training costs for a local authority-employed Community Occupational Therapist, calculated pro-rata from data on mean salary and working hours, on-costs (national insurance, pensions), overheads (administration, management, office, training, utilities, general management and support services such as finance and HR), capital and training costs.  It is a national average - the source quotes multipliers that can be used to obtain an average cost for London and Out-of-London provision.  Cost per hour data excluding training costs are detailed below.</t>
  </si>
  <si>
    <t>This is the overall cost per hour excluding training costs for a local authority-employed Community Occupational Therapist, calculated pro-rata from data on mean salary and working hours, on-costs (national insurance, pensions), overheads (administration, management, office, training, utilities, general management and support services such as finance and HR), and capital costs.  It is a national average - the source quotes multipliers that can be used to obtain an average cost for London and Out-of-London provision.  Cost per hour data excluding training costs are detailed above.</t>
  </si>
  <si>
    <t>Unit Costs of Health &amp; Social Care 2014 (Curtis, 2014), p.212</t>
  </si>
  <si>
    <t>This is the cost per hour for a Family Support Worker, calculated pro-rata from data on mean salary and working hours, on-costs (national insurance, pensions) and overheads (administration, management, office, training, utilities, general management and support services such as finance and HR).  The source also quotes an average cost per hour of client-related work of £50.  The data are national averages - the source provides a multiplier to calculate the average cost of London-based provision.  All costs quoted here are at 2013-14 prices.</t>
  </si>
  <si>
    <t>Unit Costs of Health &amp; Social Care 2014 (Curtis, 2014), p.65</t>
  </si>
  <si>
    <t>Unit Costs of Health &amp; Social Care 2014 (Curtis, 2014), p.64</t>
  </si>
  <si>
    <t>This is the mean cost per occupied bed day for intermediate care provided in a residential care home.  The data were sourced from a survey of intermediate care commissioners.  Note that in many local areas, costs will fall to both local authorities (Adult care services) and the NHS - the National Audit indicates an average split of 73% of costs falling to the PCT (Clinical Commissioning Group), and 27% to the local authority.  It also indicates that the average length of intermediate care provision is 27.6 days.  This has been chosen as a headline cost because much intermediate care is provided in a residential care home; subsidiary costs are also provided for nursing home, community and acute hospital settings, and for home-based provision.  Note that this cost is preferred to SS10.5 as a headline cost as it is based on data provided by 18 commissioners.</t>
  </si>
  <si>
    <t>This is the mean cost per occupied bed day for intermediate care provided in a nursing home.  The data were sourced from a survey of intermediate care commissioners.  Note that in many local areas, costs will fall to both local authorities (Adult care services) and the NHS - the National Audit indicates an average split of 73% of costs falling to the PCT (Clinical Commissioning Group), and 27% to the local authority.  It also indicates that the average length of intermediate care provision is 27.6 days.</t>
  </si>
  <si>
    <t>This is the mean cost per occupied bed day for intermediate care provided in a community hospital.  The data were sourced from a survey of intermediate care commissioners.  Note that in many local areas, costs will fall to both local authorities (Adult care services) and the NHS - the National Audit indicates an average split of 73% of costs falling to the PCT (Clinical Commissioning Group), and 27% to the local authority.  It also indicates that the average length of intermediate care provision is 27.6 days.</t>
  </si>
  <si>
    <t>This is the mean cost per occupied bed day for intermediate care provided in an acute hospital setting.  The data were sourced from a survey of intermediate care commissioners.  Note that in many local areas, costs will fall to both local authorities (Adult care services) and the NHS - the National Audit indicates an average split of 73% of costs falling to the PCT (Clinical Commissioning Group), and 27% to the local authority.  It also indicates that the average length of intermediate care provision is 27.6 days.</t>
  </si>
  <si>
    <t>This is the mean cost per occupied bed day for home-based intermediate care services.  The data were sourced from a survey of intermediate care commissioners.  Note that in many local areas, costs will fall to both local authorities (Adult care services) and the NHS - the National Audit indicates an average split of 73% of costs falling to the PCT (Clinical Commissioning Group), and 27% to the local authority.  It also indicates that the average length of intermediate care provision is 27.6 days.  A median cost has been used for this measure, due to the wide range of values that the source reports as having been identified through the survey.</t>
  </si>
  <si>
    <t>Alcohol Health Worker, hospital accident and emergency (A&amp;E) department - cost per consultation, excluding qualifications</t>
  </si>
  <si>
    <t>Unit Costs of Health &amp; Social Care 2014 (Curtis, 2014), p.67</t>
  </si>
  <si>
    <t>Alcohol health workers (AHWs) are experienced mental health nurses who have undertaken specific training in counselling people who misuse alcohol.  This cost represents the labour cost per hour for an AHW, excluding qualification costs; if qualification costs are included, the cost per hour is £56 (2013/14 prices).  A clinic consultation represents an average 55 minutes of client contact, plus time to refer onwards etc.  The costs are derived from salary costs (including on-costs such as national insurance and pension contributions), plus an element to account for a proportion of overheads (management, admin, travel, telephone, supplies and services, utilities) and capital costs.</t>
  </si>
  <si>
    <t>Unit Costs of Health &amp; Social Care 2014 (Curtis, 2014), p.117</t>
  </si>
  <si>
    <t>This is the cost of ten minutes' brief advice on alcohol management delivered by a GP.  The equivalent cost for ten minutes' advice delivered by a practice nurse is £7 (2013/14 prices).</t>
  </si>
  <si>
    <t>Unit Costs of Health &amp; Social Care 2014 (Curtis, 2014), p.57</t>
  </si>
  <si>
    <t>This cost represents the labour cost per hour for a clinical psychologist; the source also quotes a related cost per hour of client contact of £138 (2013-14 prices).  The costs are derived from salary costs (including on-costs such as national insurance and pension contributions), plus an element to account for a proportion of overheads (management, admin, travel, telephone, supplies and services, utilities) and capital costs.  The source also provides London and non-London multipliers (see p.183 for details).</t>
  </si>
  <si>
    <t>Unit Costs of Health &amp; Social Care 2014 (Curtis, 2014), p.183</t>
  </si>
  <si>
    <t>Unit Costs of Health &amp; Social Care 2014 (Curtis, 2014), p.191</t>
  </si>
  <si>
    <t>This cost represents the labour cost per hour for a clinical support worker providing care in a community setting.  The costs are derived from salary costs (including on-costs such as national insurance and pension contributions), plus an element to account for a proportion of overheads (management, admin, travel, telephone, supplies and services, utilities) and capital costs.  The source also provides London and non-London multipliers (see p.191 for details).</t>
  </si>
  <si>
    <t>Unit Costs of Health &amp; Social Care 2014 (Curtis, 2014), p.249</t>
  </si>
  <si>
    <t>This cost represents the labour cost per hour for a clinical support worker providing care in a hospital setting; the source also gives a cost per hour of client contact of £52 (2013-14 prices).  The costs are derived from salary costs (including on-costs such as national insurance and pension contributions), plus an element to account for a proportion of overheads (management, admin, travel, telephone, supplies and services, utilities) and capital costs.  The source also provides London and non-London multipliers (see p.249 for details).</t>
  </si>
  <si>
    <t>Consultant (medical) - cost per contract hour (excluding qualification costs)</t>
  </si>
  <si>
    <t>Unit Costs of Health &amp; Social Care 2014 (Curtis, 2014), p.257</t>
  </si>
  <si>
    <t>This cost represents the labour cost per contract hour for a medical consultant providing care in a hospital setting; a related cost is also given of £140 per contract hour including qualification costs (2013-14 prices).  The costs are derived from salary costs (including on-costs such as national insurance and pension contributions), plus an element to account for a proportion of overheads (management, admin, travel, telephone, supplies and services, utilities) and capital costs.  The source also provides London and non-London multipliers (see p.257 for details).</t>
  </si>
  <si>
    <t>Consultant (surgical) - cost per contract hour (excluding qualification costs)</t>
  </si>
  <si>
    <t>Unit Costs of Health &amp; Social Care 2014 (Curtis, 2014), p.258</t>
  </si>
  <si>
    <t>This cost represents the labour cost per contract hour for a surgical consultant providing care in a hospital setting; a related cost is also given of £142 per hour including qualification costs (2013-14 prices).  The costs are derived from salary costs (including on-costs such as national insurance and pension contributions), plus an element to account for a proportion of overheads (management, admin, travel, telephone, supplies and services, utilities) and capital costs.  The source also provides London and non-London multipliers (see p.258 for details).</t>
  </si>
  <si>
    <t>Consultant (psychiatric) - cost per contract hour (excluding qualification costs)</t>
  </si>
  <si>
    <t>Unit Costs of Health &amp; Social Care 2014 (Curtis, 2014), p.259</t>
  </si>
  <si>
    <t>This cost represents the labour cost per contract hour for an NHS psychiatric consultant; including qualification costs, it becomes £142 per contract hour (2012-13 prices).  The costs are derived from salary costs (including on-costs such as national insurance and pension contributions), plus an element to account for a proportion of overheads (management, admin, travel, telephone, supplies and services, utilities) and capital costs.  The source also provides London and non-London multipliers (see p.259 for details).</t>
  </si>
  <si>
    <t>Unit Costs of Health &amp; Social Care 2014 (Curtis, 2014), p.245</t>
  </si>
  <si>
    <t>Child taken into care - average fiscal cost across different types of care setting, England, per year</t>
  </si>
  <si>
    <t>Department for Work and Pensions response to parliamentary questions (HC Deb 6 February 2013, vol 558, col 352W)</t>
  </si>
  <si>
    <t>This cost represents the labour cost per contract hour for an hospital-based Nurse team manager - this includes roles such as ward managers, sisters and clinical managers.  The source also gives data including qualification costs, at £58 per hour.  Related costs are given per hour of patient contact, at £124 per hour, or £140 including qualification costs (all costs are quoted at 2013-14 prices).  The costs are derived from salary costs (including on-costs such as national insurance and pension contributions), plus an element to account for a proportion of overheads (management, admin, travel, telephone, supplies and services, utilities) and capital costs.  The source also provides London and non-London multipliers (see p.245 for details).</t>
  </si>
  <si>
    <t>Unit Costs of Health &amp; Social Care 2014 (Curtis, 2014), p.246</t>
  </si>
  <si>
    <t>This cost represents the labour cost per contract hour for an hospital-based Nurse team leader - this includes roles such as deputy ward/unit managers, ward team leaders and senior staff nurses.  The source also gives data including qualification costs, at £49 per hour.  Related costs are given per hour of patient contact, at £104 per hour or £120 including qualification costs (all costs are quoted at 2013-14 prices).  The costs are derived from salary costs (including on-costs such as national insurance and pension contributions), plus an element to account for a proportion of overheads (management, admin, travel, telephone, supplies and services, utilities) and capital costs.  The source also provides London and non-London multipliers (see p.246 for details).</t>
  </si>
  <si>
    <t>Unit Costs of Health &amp; Social Care 2014 (Curtis, 2014), p.247</t>
  </si>
  <si>
    <t>This cost represents the labour cost per contract hour for an hospital-based nurse on a day ward - this includes roles such as staff nurse, registered nurse and registered practitioner.  The source also gives data including qualification costs, at £41 per hour.  Related costs are given per hour of patient contact, at £84 per hour or £100 including qualification costs (all costs are quoted at 2013-14 prices).  The costs are derived from salary costs (including on-costs such as national insurance and pension contributions), plus an element to account for a proportion of overheads (management, admin, travel, telephone, supplies and services, utilities) and capital costs.  The source also provides London and non-London multipliers (see p.247 for details).</t>
  </si>
  <si>
    <t>This cost represents the labour cost per contract hour for an hospital-based nurse on a 24-hour ward - this includes roles such as staff nurse, registered nurse and registered practitioner.  The source also gives data including qualification costs, at £41 per hour.  Related costs are given per hour of patient contact, at £84 per hour or £100 including qualification costs (all costs are quoted at 2013-14 prices).  The costs are derived from salary costs (including on-costs such as national insurance and pension contributions), plus an element to account for a proportion of overheads (management, admin, travel, telephone, supplies and services, utilities) and capital costs.  The source also provides London and non-London multipliers (see p.248 for details).</t>
  </si>
  <si>
    <t>Unit Costs of Health &amp; Social Care 2014 (Curtis, 2014), p.248</t>
  </si>
  <si>
    <t>This cost represents the labour cost per hour for a hospital-based dietician; including qualification costs, it becomes £37 per hour (2013-14 prices).  The costs are derived from salary costs (including on-costs such as national insurance and pension contributions), plus an element to account for a proportion of overheads (management, admin, travel, telephone, supplies and services, utilities) and capital costs.  The source also provides London and non-London multipliers (see p.238 for details).</t>
  </si>
  <si>
    <t>Unit Costs of Health &amp; Social Care 2014 (Curtis, 2014), p.238</t>
  </si>
  <si>
    <t>Unit Costs of Health &amp; Social Care 2014 (Curtis, 2014), p.236</t>
  </si>
  <si>
    <t>Unit Costs of Health &amp; Social Care 2014 (Curtis, 2014), p.210</t>
  </si>
  <si>
    <t>This is the average cost per hour of local authority-provided home care, and includes salary and on-costs (e.g. national insurance, pension) and direct/indirect overheads (e.g. administration, management, office, training, utilities, support services such as finance and HR).  The source also provides a cost for home care provided by the independent sector, at £15 per hour (overall public value, including fiscal and economic elements).  The overall average (for both local authority and independent sector provision) is £17 per hour.  If you want a cost per visit, the source comments that just over half of local authority-funded home care visits lasted 30 minutes; on average, individual users received 7 hours of home care per week, or 364 hours per year, if provision is sustained over 52 weeks (this equates to a weekly cost of £259, and an annual cost of £13,468).  Price multipliers are quoted for weekend and night-time visits.  All prices are quoted at 2013/14 prices.
See the comment cell to the entry at SS11.0 (and SS7.0) for the rationale behind the split between fiscal and economic costs.</t>
  </si>
  <si>
    <t>Unit Costs of Health &amp; Social Care 2014 (Curtis, 2014), p.127</t>
  </si>
  <si>
    <t>This is one of a series of costs covering different scenarios for community care packages for older people.  It presents a very low cost for such provision, compared to other scenarios for low, median, high and very high cost scenarios.  The very-low cost scenario is based upon a 'typical case' of an 83 year old widow who lived alone in sheltered accommodation but received help from two people, with most help coming from another family member; she had problems with three activities of daily living: using the stairs; getting around outside; and bathing; her problems stemmed from a previous stroke.  The constituent costs are (more detail is given on p.127 of the source): average weekly cost of local-authority organised home care @ 1 hour/week (social care) = £37; average weekly cost of meals on wheels = £46; average weekly GP costs (health care) = £11.  The source also quotes an average weekly cost for accommodation in extra care housing of £170, and an average weekly cost for living expenses of £164, producing an overall weekly cost including all expenses of £429.  The source notes that care package costs exclude the costs of hospital and any use of care homes for respite care, and that social work/care management costs were included only where visits from a social worker during the previous three months were reported by the individual.  All costs quoted here are at 2013/14 prices, and exclude the cost of qualifications.</t>
  </si>
  <si>
    <t>Unit Costs of Health &amp; Social Care 2014 (Curtis, 2014), p.128</t>
  </si>
  <si>
    <t>Unit Costs of Health &amp; Social Care 2014 (Curtis, 2014), p.129</t>
  </si>
  <si>
    <t>Unit Costs of Health &amp; Social Care 2014 (Curtis, 2014), p.130</t>
  </si>
  <si>
    <t>Unit Costs of Health &amp; Social Care 2014 (Curtis, 2014), p.131</t>
  </si>
  <si>
    <t>CR4.3</t>
  </si>
  <si>
    <t>Case Manager / Youth Offending Team (YOT) practitioner - cost per hour</t>
  </si>
  <si>
    <t>A case manager is a Youth Offending Team (YOT) practitioner with case management responsibilities for particular young offenders.  This is the average cost per hour for such a practitioner, and is based upon research undertaken with YOT teams participating in the 2009 Juvenile Cohort Study (JCS).  The cost is derived from salary costs (including on-costs such as national insurance and pension contributions), plus an element to account for overheads (management and administration), and capital costs associated with offices/shared premises.  The source also quotes a cost of £45 per hour for case-related work, and £161 per hour of face-to-face contact (both at 2008-09 prices).</t>
  </si>
  <si>
    <t>Unit Costs in Criminal Justice (Brookes et al, 2013), p.65</t>
  </si>
  <si>
    <t>New cost added into database</t>
  </si>
  <si>
    <t>This is the average cost per session for people with mental health problems using local authority social services day care.  Note that this cost is for patients who are fully paid for by the local authority, whereas some patients may be fully or partly self-funding (in which case the fiscal cost should be reduced and the individual's contribution accounted for as an economic cost), and others part-funded under joint local authority-NHS arrangements.  The cost is derived from day care and capital costs (excluding capital costs, the median cost per attendance is £29, and the mean cost £22).  The source quotes the median and mean cost per client week as £105, including capital costs.  In addition, it details related costs per client hour (£8.60) and per client session lasting 3.5 hours (£30) (all costs in this cell are quoted at 2013-14 prices).  London multipliers are also given (see p.48).  The source commentary details an assumption that clients attend day care for an average three sessions per week, which is the number of sessions recommended as part of a total recovery programme.</t>
  </si>
  <si>
    <t>Residential rehabilitation consists of a range of treatment delivery models or programmes to address drug and alcohol misuse, including abstinence orientated drug interventions within the context of residential accommodation.  Other examples include inpatient treatment for the pharmacological management of substance misuse, and therapeutic residential services designed to address adolescent rehabilitation.  This is an average unit cost per week for a structured drug or alcohol treatment/rehabilitation programme delivered in a residential setting; it is based upon information from a sample of 34 residential rehabilitation programmes.  The source does not provide detail of the constituent costs that make up the total quoted (nor the main delivery agencies), hence the amber flag.</t>
  </si>
  <si>
    <t>An Inpatient Unit (IPU) provides care to service users with substance-related problems (medical, psychological or social) that are so severe that they require medical, psychiatric and psychological care.  The key feature of an IPU is the provision of these services with 24-hour cover, seven days per week, from a multidisciplinary clinical team who have had specialist training in managing addictive behaviours.  
Treatment for drug or alcohol misuse in an inpatient setting may involve one of more of the following interventions: assessment; stabilisation; and assisted withdrawal (detoxification).  Treatment is provided in either: general hospital psychiatric units; specialist drug misuse inpatient units in hospitals; and residential rehabilitation units.  This is an average cost per day across these different types of provision and setting; the source also quotes a weekly cost of £1,061 (2013-14 prices).  Data are based on salary costs (including on-costs), overheads (including drugs, pharmacy and dispensing costs, plus all other aspects of treatment and general overheads), and indirect costs and overheads (including capital charges, finance, transport, personnel, etc.).</t>
  </si>
  <si>
    <t>HE2.20</t>
  </si>
  <si>
    <t>Specialist prescribing</t>
  </si>
  <si>
    <t>Unit Costs of Health &amp; Social Care 2014 (Curtis, 2014), p.66</t>
  </si>
  <si>
    <t>Specialist prescribing is community prescribing for drug misuse in a specialist drug service setting, normally staffed by a multidisciplinary substance misuse team.  Specialist prescribing interventions normally include comprehensive assessments of drug treatment need and the provision of a full range of prescribing treatments in the context of care-planned drug treatment.  The specialist team should also provide, or provide access to, a range of other care-planned health-care interventions including psychosocial interventions, a wide range of hard reduction interventions, Blood Borne Virus (BBV) prevention and vaccination, and abstinence-oriented interventions.  The teams include specialist doctors who are usually consultant addiction psychiatrists.
This is the average cost per patient week for specialist prescribing.  It includes staffing (salaries plus on-costs),  direct overheads (including drugs, pharmacy dispensing, rent, rates, staff travel, training, service user travel, volunteer expenses, office costs and non-pay administration) and indirect costs and overheads (including capital costs, housekeeping, catering, porterage, transport, waste disposal, security, finance and HR, communications and corporate charges).  It is based on information provided by the National Treatment Agency for Substance Misuse (NTA).  The source also quotes the mean cost per face-to-face client contact in a NHS and PCT combined drugs and alcohol mental health team as £119, and per non face-to-face contact as £51 (both at 2013-14 prices).</t>
  </si>
  <si>
    <t>This is the average cost per hour for counselling and psychotherapy and other 'talking therapies', delivered by trained practitioners who work with people over the short or long term to help them bring about effective change or enhance their wellbeing.  The Unit Costs of Health &amp; Social Care 2013 publication gives related costs per hour of client contact (£63) and per consultation (£58) (both quoted at 2012-13 prices).  The costs are derived from salary costs (including on-costs such as national insurance and pension contributions), plus an element to account for a proportion of overheads (management, admin, travel, telephone, supplies and services, utilities) and capital costs.</t>
  </si>
  <si>
    <t>This cost was developed specifically to capture assessment costs under the Framework for the Assessment of Children in Need and their Families (2000), so may not be appropriate to more recent assessment processes.  An average cost is quoted, but the report indicates that the cost of undertaking core assessments varied considerably depending on the complexity of the case and whether there was one or more children in the family being assessed.  As indicated in the constituent cost lines below, the average cost to social services was £760; the additional cost of £140 represented the time professionals from other agencies spent in communicating with the social worker (both costs quoted at 2004-05 prices).  An amber flag has been applied to reflect both the age of the data and the potential range in values away from the average quoted.</t>
  </si>
  <si>
    <t>See above headline entry.  This cost was developed specifically to capture assessment costs under the Framework for the Assessment of Children in Need and their Families (2000), so may not be appropriate to more recent assessment processes.  This is the element of the headline cost that falls to local authority social services.  See the constituent entry below for the cost of time spent by professionals from other agencies in communicating with the social worker.  An amber flag has been applied to reflect both the age of the data and the potential range in values away from the average quoted.</t>
  </si>
  <si>
    <t>See above cost lines.  This cost was developed specifically to capture assessment costs under the Framework for the Assessment of Children in Need and their Families (2000), so may not be appropriate to more recent assessment processes.  This is the element of the headline cost relating to the cost of time spent by professionals from other agencies in communicating with the social worker; the constituent cost above gives the cost relating to local authority social services input.  An amber flag has been applied to reflect both the age of the data and the potential range in values away from the average quoted.</t>
  </si>
  <si>
    <t>Comment cell revised</t>
  </si>
  <si>
    <t>This is one of a series of costs covering different scenarios for community care packages for older people.  It presents a low cost for such provision, compared to other scenarios for very low, median, high and very high cost scenarios.  The low cost scenario is based upon a 'typical case' of a 79-year old widow who lived alone but received help from two people, most help being provided by a family member; she had problems with three activities of daily living: using the stairs; getting around outside; and bathing; her problems stemmed from arthritic conditions and cardiovascular disease.  The constituent costs are (more detail is given on p.128 of the source): average weekly cost of local-authority organised home care @ 4 hours/week (social care) = £148; average weekly cost of independently provided private home care @ 3 hours/week = £45; average weekly community nurse costs = £5; average weekly GP costs (health care) = £21.  The source also quotes an average weekly cost for (social rented) accommodation of £90, and an average weekly cost for living expenses of £164, producing an overall weekly cost including all expenses of £473.  The source notes that care package costs exclude the costs of hospital and any use of care homes for respite care, and that social work/care management costs were included only where visits from a social worker during the previous three months were reported by the individual.  All costs quoted here are at 2013/14 prices, and exclude the cost of qualifications.</t>
  </si>
  <si>
    <t>This is one of a series of costs covering different scenarios for community care packages for older people.  It presents an median cost for such provision, compared to other scenarios for very low, low, high and very high cost scenarios.  The median scenario is based upon a 'typical case' of an 80-year old widow living with two other relatives, who had problems with four activities of daily living: using the stairs; getting around outside; dressing; and bathing.  The constituent costs are (more detail is given on p.129 of the source): average weekly cost of local-authority organised home care, @ 10 hours/week (social care) = £370; average weekly GP costs (health care) = £11.  The source also quotes an average weekly cost for (private rented) accommodation of £164, and an average weekly cost for living expenses of £164, producing an overall weekly cost including all expenses of £698.  The source notes that care package costs exclude the costs of hospital and any use of care homes for respite care, and that social work/care management costs were included only where visits from a social worker during the previous three months were reported by the individual.  All costs quoted here are at 2013/14 prices, and exclude the cost of qualifications.</t>
  </si>
  <si>
    <t>This is one of a series of costs covering different scenarios for community care packages for older people.  It presents a high cost for such provision, compared to other scenarios for very low, low, median and very high cost scenarios.  The high cost scenario is based upon a 'typical case' of a 79-year old widower who owned his own home and lived with two other friends, one of whom provided him with help; he had problems with seven activities of daily living, stemming from arthritic conditions and a previous stroke: using the stairs; getting around outside and inside the house; using the toilet; transferring between chair and bed; dressing; and bathing.  The constituent costs are (more detail is given on p.130 of the source): average weekly cost of local-authority organised home care, @ 10 hours/week (social care) = £370; average weekly cost of day centre attendance (c. one day a week) = £56;  average weekly cost of independently provided private home care, @ 24 hours/week = £358; average weekly health care costs (Community Nurse, GP, Occupational Therapist) = £92.  The source also quotes an average weekly cost for (owner-occupied) accommodation of £67, and an average weekly cost for living expenses of £213, producing an overall weekly cost including all expenses of £1,157.  The source notes that care package costs exclude the costs of hospital and any use of care homes for respite care, and that social work/care management costs were included only where visits from a social worker during the previous three months were reported by the individual.  All costs quoted here are at 2013/14 prices, and exclude the cost of qualifications.</t>
  </si>
  <si>
    <t>This is one of a series of costs covering different scenarios for community care packages for older people.  It presents a very high cost for such provision, compared to other scenarios for very low, low, median and high cost scenarios.  The very high cost scenario is based upon a 'typical case' of an 82 year old woman who was married and lived with her husband and another relative in her own home, with her husband providing most support; she suffered from dementia and needed help with nine activities of daily living: stairs; getting around outside and inside the house; using the toilet; transferring between chair and bed; dressing; bathing; washing; and feeding.  The constituent costs are (more detail is given on p.131 of the source): average weekly cost of local-authority organised home care @ 30 hours/week (social care) = £1,111; average weekly health care costs (Community Nurse, GP) = £30.  The source also quotes an average weekly cost for accommodation of £46, and an average weekly cost for living expenses of £213, producing an overall weekly cost including all expenses of £1,401.  The source notes that care package costs exclude the costs of hospital and any use of care homes for respite care, and that social work/care management costs were included only where visits from a social worker during the previous three months were reported by the individual.  All costs quoted here are at 2012/13 prices, and exclude the cost of qualifications.</t>
  </si>
  <si>
    <t>The source quotes the average cost per meal provided by the local authority as £6.60, and per meal provided by the independent sector as £5.
More affluent individuals will pay for some/all of their meal costs - this element represents an economic cost to the individual, with the fiscal cost representing the costs falling to the local authority.  As with residential / nursing care, we have allocated two-thirds of home care costs as a fiscal cost falling to local authorities, and the remaining third as an economic cost falling to individual self-funders (see SS7.0 for more detail on how this split is derived).</t>
  </si>
  <si>
    <t>Stair lift, straight (median total cost)</t>
  </si>
  <si>
    <t>Unit Costs of Health &amp; Social Care 2014 (Curtis, 2014), p.113</t>
  </si>
  <si>
    <t>The median cost has been used, as the range of values was wide (£1,050 - £2,829), potentially distorting the mean (£1,874).  The source also provides an annuitised cost (and gives information on how this has been derived) - the median annual equipment cost for a stair lift is £231 (mean £225).  The source also quotes data for a more complex stair lift: median cost £4,600 (range of values £2,300 - £6,613; mean £4,564), annuitised cost £553 (mean £549).</t>
  </si>
  <si>
    <t>Ramp to front/back door (median total cost)</t>
  </si>
  <si>
    <t>Unit Costs of Health &amp; Social Care 2014 (Curtis, 2014), p.114</t>
  </si>
  <si>
    <t>The source quotes the median cost, as the range of values was wide (£120 - £700), and the mean (£313) was distorted by the wide range.  The source also provides an annuitised cost (and gives information on how this has been derived) - the median annual equipment cost for a simple ramp is £14.</t>
  </si>
  <si>
    <t>Handrail, external (median total cost)</t>
  </si>
  <si>
    <t>The source quotes the median cost, as the range of values was wide (£16-£101), and the mean (£42) was distorted by the wide range.  The source also provides an annuitised cost (and gives information on how this has been derived) - the median annual equipment cost for an external handrail is £3.40.  The source also quotes data for an internal handrail: median cost £20 (range £9.40-£65, mean £28), median annuitised cost £2.40 (mean £3.40).</t>
  </si>
  <si>
    <t>Unit Costs of Health &amp; Social Care 2014 (Curtis, 2014), p.112</t>
  </si>
  <si>
    <t>The source provides a purchase price for powered wheelchairs of £1,387, which has been annuitised following the methodology it outlines.  Revenue costs (staff costs of maintenance, pressure relief) are £116 per year.  The source also comments that the range of purchase costs is very high for powered chairs (£700 to £3,000) - the quoted costs are an approximate mid-range figure, and specific information should be used where possible.  All costs quoted here are at 2013-14 prices.</t>
  </si>
  <si>
    <t>The source provides a purchase price for self- or attendant-propelled wheelchairs of £278, which has been annuitised following the methodology it outlines.  Revenue costs (staff costs of maintenance, pressure relief) are £29 per year.  The source also comments that the range of purchase costs is high (£100 to £650) - the quoted costs are an approximate mid-range figure, and specific information should be used where possible.  All costs quoted here are at 2013-14 prices.</t>
  </si>
  <si>
    <t>The source defines 'active users' as 'individuals who are permanently restricted to a wheelchair but are otherwise well and have high mobility needs'.  A purchase price is provided for (non-powered) wheelchairs that are suitable for active users of £694, which has been annuitised following the methodology outlined in the source.  Revenue costs (staff costs of maintenance, pressure relief) are £29 per year.  The source also comments that the range of purchase costs is high for active user chairs (£100 to £650) - the quoted costs are an approximate mid-range figure, and specific information should be used where possible.  All costs quoted here are at 2013-14 prices.</t>
  </si>
  <si>
    <t>Unit Costs of Health &amp; Social Care 2014 (Curtis, 2014), p.38</t>
  </si>
  <si>
    <t>This is the average cost per 3.5 hour session of local authority-provided day care, and includes capital costs (buildings, land), and salary and other revenue costs (including on-costs such as national insurance, pension).  To provide a cost per day care session, the source assumes that clients attend day care, on average, 2.5 times per week (inevitably, some service users will attend more often and others less often depending on individual circumstances).  The median (and mean) cost was £129 per week (all costs quoted here are at 2013-14 prices).  A London multiplier is provided - see p.38 for how to apply this. 
See the comment cell to the entry at SS12.0 (and SS7.0) for the rationale behind the split between fiscal and economic costs.</t>
  </si>
  <si>
    <t>Unit Costs of Health &amp; Social Care 2014 (Curtis, 2014), p.103</t>
  </si>
  <si>
    <t>The Incredible Years series includes three interlocking training programmes for parents, children and teachers, which span the 0-12 year age range.  The data quoted here are for delivering a course of the Webster-Stratton Incredible Years basic parenting programme, and represent the total cost per child based on eight parents per group; the total cost per child with a group of 12 parents is £1,246.  Note that these data exclude set-up costs - if set-up costs are included, the total cost per child based on eight parents per group is £2,471, and for 12 parents per group, £1,647.  All costs quoted here are at 2013-14 prices.</t>
  </si>
  <si>
    <t>Unit Costs of Health &amp; Social Care 2014 (Curtis, 2014), p.93</t>
  </si>
  <si>
    <t>This is the cost per Multi-Systemic Therapy (MST) session, of one hour in duration.  The source also quotes a cost per hour worked (as opposed to face-to-face client contact) for an MST psychologist of £50 (2013-14 prices).  Costs are derived from data on salary and on-costs (e.g. national insurance, pensions), overheads (management, administration, office, travel/transport, telephone, education/training, supplies, utilities), and capital overheads (buildings, land).  The research involved costing a randomised controlled trial of interventions for adolescents aged 11-17 years at risk of continuing criminal activity.</t>
  </si>
  <si>
    <t>Unit Costs of Health &amp; Social Care 2014 (Curtis, 2014), p.206</t>
  </si>
  <si>
    <t>This is the cost per hour for a hospital-based occupational therapist.  The source also gives data including qualification costs, at £36 per hour.  The costs are derived from salary costs (including on-costs such as national insurance and pension contributions), plus an element to account for a proportion of overheads (management, admin, travel, telephone, supplies and services, utilities) and capital costs.  The source also provides London and non-London multipliers (see p.236 for details).</t>
  </si>
  <si>
    <t>Unit Costs of Health &amp; Social Care 2014 (Curtis, 2014), p.237</t>
  </si>
  <si>
    <t>This is the cost per hour for a hospital-based speech and language therapist.  The source also gives data including qualification costs, at £37 per hour.  The costs are derived from salary costs (including on-costs such as national insurance and pension contributions), plus an element to account for a proportion of overheads (management, admin, travel, telephone, supplies and services, utilities) and capital costs.  The source also provides London and non-London multipliers (see p.237 for details).</t>
  </si>
  <si>
    <t>Unit Costs of Health &amp; Social Care 2014 (Curtis, 2014), p.240</t>
  </si>
  <si>
    <t>This is the cost per hour for a hospital-based pharmacist; including qualification costs, it becomes £48 per hour.  Related costs are given per hour of direct clinical patient time, including travel (£84, or £96 including qualification costs) and per hour of patient-related activities (£60, or £68 including qualification costs) (all costs quoted at 2013-14 prices).  The costs are derived from salary costs (including on-costs such as national insurance and pension contributions), plus an element to account for a proportion of overheads (management, admin, travel, telephone, supplies and services, utilities) and capital costs.  The source also provides London and non-London multipliers (see p.240 for details).</t>
  </si>
  <si>
    <t>Unit Costs of Health &amp; Social Care 2014 (Curtis, 2014), p.235</t>
  </si>
  <si>
    <t>This is the cost per hour for a hospital-based physiotherapist.  The source also gives data including qualification costs, at £37 per hour (2013-14 prices).  The costs are derived from salary costs (including on-costs such as national insurance and pension contributions), plus an element to account for a proportion of overheads (management, admin, travel, telephone, supplies and services, utilities) and capital costs.  The source also provides London and non-London multipliers (see p.235 for details).</t>
  </si>
  <si>
    <t>Unit Costs of Health &amp; Social Care 2014 (Curtis, 2014), p.239</t>
  </si>
  <si>
    <t>This is the cost per hour for a hospital-based radiographer.  The source also gives data including qualification costs, at £38 per hour (2013-14 prices).  The costs are derived from salary costs (including on-costs such as national insurance and pension contributions), plus an element to account for a proportion of overheads (management, admin, travel, telephone, supplies and services, utilities) and capital costs.  The source also provides London and non-London multipliers (see p.239 for details).</t>
  </si>
  <si>
    <t>Outpatient attendance - average cost of outpatient attendance, paediatrics</t>
  </si>
  <si>
    <t>Unit Costs of Health &amp; Social Care 2014 (Curtis, 2014), p.85</t>
  </si>
  <si>
    <t>This is a weighted average for all paediatric outpatient attendances, derived from the NHS Trust and Primary Care Trusts combined dataset, and uprated to 2013-14 prices in the source document (Unit Costs of Health and Social Care 2014).</t>
  </si>
  <si>
    <t xml:space="preserve">This is the cost per hour for an adult services social worker's time excluding qualification costs, calculated pro-rata from data on mean salary and working hours, on-costs (national insurance, pensions), overheads (administration, management, office, training, utilities, general management and support services such as finance and HR) and capital costs.  The source also gives the cost per hour of client-related work as £55, excluding qualification costs.  The data are national averages - multipliers are provided, for use in calculating average costs for London and out-of-London.  Related data are given above for cost per hour including qualification costs.  All costs quoted here are at 2013-14 prices. </t>
  </si>
  <si>
    <t>This is the cost per hour for an adult services social worker's time including qualification costs, calculated pro-rata from data on mean salary and working hours, on-costs (national insurance, pensions), overheads (administration, management, office, training, utilities, general management and support services such as finance and HR), capital and qualification costs.  The source also gives the cost per hour of client-related work as £79, including qualification costs.  The data are national averages - multipliers are provided, for use in calculating average costs for London and out-of-London (see the source document, p.206).  Related data are given below for cost per hour without qualification costs.  All costs quoted here are at 2013-14 prices.</t>
  </si>
  <si>
    <t>Unit Costs of Health &amp; Social Care 2014 (Curtis, 2014), p.207</t>
  </si>
  <si>
    <t>This is the cost per hour for a children's services social worker's time including qualification costs, calculated pro-rata from data on mean salary and working hours, on-costs (national insurance, pensions), overheads (administration, management, office, training, utilities, general management and support services such as finance and HR), capital and qualification costs.  The source also gives the cost per hour of client-related work as £79, including qualification costs.  The data are national averages - multipliers are provided, for use in calculating average costs for London and out-of-London.  Related data are given below for cost per hour without qualification costs.  All costs quoted here are at 2013-14 prices.</t>
  </si>
  <si>
    <t>Jobseekers Allowance (JSA) is the main benefit for people who are out of work and seeking employment; it is based on either National Insurance (NI) contributions or low income.  This is the fiscal benefit from a JSA claimant entering work.  
The given value is an illustrative estimate by the Department of Work and Pensions (DWP) of the costs and benefits that would occur if some hypothetical 'typical' JSA claimant (who would otherwise have remained on benefits) were to move into employment for one additional year.  The in-work wages and working hours of 'typical' claimants are assumed to be consistent with those reported by relevant former benefit claimants (see https://www.gov.uk/government/uploads/system/uploads/attachment_data/file/214578/rrep791.pdf).  Changes in income tax and NI payments are estimated by applying a simplified model of the tax and NI systems to the relevant in-work wage estimates.  Changes in tax credits, indirect tax and benefit payments are estimated using the DWP's Policy Simulation Model.
As shown in the constituent cost lines below, the cost comprises savings in benefits payments accruing to the DWP's Annually Managed Expenditure, and savings to the NHS related to a reduction in health care costs associated with being out of work.  As stated above, monetisation is based on entry into employment for a 12 month period.  Not all individuals entering employment will stay in a job indefinitely, and therefore an assessment of the length of employment should be included when calculating the impact of an intervention.  
The economic impact relates to increased earnings as a result of entering employment.  Note that when considering the overall public value relating to a JSA claimant entering work, the fiscal saving from benefits payments should be excluded, as this is effectively a transfer payment (non-payment of a social security benefit just moves money from one place to another).  Total public value is therefore £14,610 (2012/13 prices); this comprises the £566 fiscal benefit to health agencies plus the £14,044 economic benefit to the individual.</t>
  </si>
  <si>
    <t>DWP modelling (unpublished)</t>
  </si>
  <si>
    <t>Employment and Support Allowance (ESA) is the main benefit for people who are sick or disabled, and is based on either National Insurance (NI) contributions or low income.  ESA has replaced Incapacity Benefit (IB) for all new claims.  This is the fiscal benefit from an ESA / IB claimant entering work.  
The given value is an illustrative estimate by the Department of Work and Pensions (DWP) of the costs and benefits that would occur if some hypothetical 'typical' ESA WRAG (Work-Related Activity Group) claimant (who would otherwise have remained on benefits) were to move into employment for one additional year.  The in-work wages and working hours of 'typical' claimants are assumed to be consistent with those reported by relevant former benefit claimants (see https://www.gov.uk/government/uploads/system/uploads/attachment_data/file/214578/rrep791.pdf).  Changes in income tax and NI payments are estimated by applying a simplified model of the tax and NI systems to the relevant in-work wage estimates.  Changes in tax credits, indirect tax and benefit payments are estimated using the DWP's Policy Simulation Model.
As shown in the constituent cost lines below, the cost comprises savings in benefits payments accruing to the DWP's Annually Managed Expenditure, and savings to the NHS related to a reduction in health care costs associated with being out of work.  As stated above, monetisation is based on entry into employment for a 12 month period.  Not all individuals entering employment will stay in a job indefinitely, and therefore an assessment of the length of employment should be included when calculating the impact of an intervention.  
The economic impact relates to increased earnings as a result of entering employment.  Note that when considering the overall public value relating to a ESA / IB claimant entering work, the fiscal saving from benefits payments should be excluded, as this is effectively a transfer payment (non-payment of a social security benefit just moves money from one place to another).  Total public value is therefore £13,700 (2012/13 prices); this comprises the £1,132 fiscal benefit to health agencies plus the £12,568 economic benefit to the individual.</t>
  </si>
  <si>
    <t xml:space="preserve">Income Support is extra money for those on a low income or none at all, who are working less than 16 hours a week and haven't signed on as unemployed.  This is the fiscal benefit from an Income Support claimant entering work. 
The given value is an illustrative estimate by the Department of Work and Pensions (DWP) of the costs and benefits that would occur if some hypothetical 'typical' Income Support claimant (who would otherwise have remained on benefits) were to move into employment for one additional year.  The in-work wages and working hours of 'typical' claimants are assumed to be consistent with those reported by relevant former benefit claimants (see https://www.gov.uk/government/uploads/system/uploads/attachment_data/file/214578/rrep791.pdf).  Changes in income tax and NI payments are estimated by applying a simplified model of the tax and NI systems to the relevant in-work wage estimates.  Changes in tax credits, indirect tax and benefit payments are estimated using the DWP's Policy Simulation Model.
As shown in the constituent cost lines below, the cost comprises savings in benefits payments accruing to the DWP's Annually Managed Expenditure, and savings to the NHS related to a reduction in health care costs associated with being out of work.  As stated above, monetisation is based on entry into employment for a 12 month period.  Not all individuals entering employment will stay in a job indefinitely, and therefore an assessment of the length of employment should be included when calculating the impact of an intervention.  
The economic impact relates to increased earnings as a result of entering employment.  Note that when considering the overall public value relating to an Income Support claimant entering work, the fiscal saving from benefits payments should be excluded, as this is effectively a transfer payment (non-payment of a social security benefit just moves money from one place to another).  Total public value is therefore £9,267 (2012/13 prices); this comprises the £566 fiscal benefit to health agencies plus the £8,701 economic benefit to the individual.
</t>
  </si>
  <si>
    <t>This headline cost for looked after children (LAC) should only be used in the absence of more specific data on the type of placement provided to individual children.  If such data are available, we advise using the more specific costs provided for foster care and residential care homes (see entries SS2.0, SS3.0, or variants provided in the underlying cost lines SS2.0.1 - SS2.9 and SS3.1).
The cost is derived from Department for Education (DfE) Section 251 outturn data on net current expenditure on LAC in England in 2013/14, and DfE 903 return data on the number of LAC in England in March 2014; the Section 251 data were divided by the 903 return number to calculate a national average unit cost per LAC.  The Section 251 data encompasses the following areas of LAC expenditure: residential care; fostering services; adoption services; special guardianship support; other children looked after services; short breaks (respite) for looked after disabled children; children placed with family and friends; education of LAC; leaving care support services; and asylum seeker services - children.  The method was chosen over other types of calculation and sources of potential headline data, as it considers expenditure across a range of placement types, and provides an average across all English local authorities.  In practice, as demonstrated by some of the subsidiary costs below (many of which are based on particular scenarios that outline LAC with varying degrees of need), expenditure on LAC varies widely depending on the needs of the child and the local context (for example, areas with high numbers of LAC but fewer available foster care places may have a higher proportion of LAC provision in residential homes, which are considerably more expensive than fostering provision).  This variance is demonstrated when using the same methodology to derive data for individual localities/areas - for example, under this methodology the Greater Manchester net average cost per LAC is £43,053 (2013/14 prices).
Note that we have revised the methodology used in the previous version of the unit cost database, which added in a proportion of the total net cost quoted in the Section 251 return for 'Safeguarding Children and Young People's Services', in order to capture wider social work costs associated with looked after children.  The current entry excludes these social work costs, and is based solely on the placement cost areas detailed above.  Further work is planned to estimate/ attribute the proportion of  'Safeguarding Children and Young People's Services' spend on children taken into care, following which this element will be reintroduced.  For this reason, and due to the potential local variance described above, an amber flag has been allocated.  The amber flag also reflects some variance in local authority approaches to completing the Section 251 return.  To ensure full confidence in the robustness of data, it is recommended that, where possible, local areas calculate their own unit costs using children's services data on total expenditure on LAC divided by the number of LAC this expenditure relates to.
A further change from version 1.3 of the database is the removal of the social value provided for LAC (this was quoted in the Comment cell), which related to the human and emotional harm experienced by children taken into care, and was based upon the social value associated with domestic violence (see the Domestic Violence entry in the 'Crime' worksheet).  We have taken it out due to concerns over appropriateness in transferring to LAC, because in some instances taking a child into care may reduce human and emotional harm (by avoiding abuse and neglect), and to avoid the potential for double-counting should modelled outcomes include both LAC and domestic violence.
Finally, note that although there may be a longer-term economic impact associated with a child being taken into care (e.g. in terms of future earning potential), in the shorter-term this does not apply.</t>
  </si>
  <si>
    <t>Mental health inpatients, specialist services, hospital attendance - average cost per bed day, all patients (adults, children and adolescents)</t>
  </si>
  <si>
    <t>(Updated cost not available from the 2013-14 Reference Costs publication).  'Cost / saving detail' description and 'Comment' cell revised to refer to all patients, not just adults.  Renumbered</t>
  </si>
  <si>
    <t>Mental health inpatients, hospital attendance - average cost per bed day, children and adolescents</t>
  </si>
  <si>
    <t>Mental health inpatients, specialist services, hospital attendance - average cost per bed day, adults</t>
  </si>
  <si>
    <t>National Schedule of Reference Costs 2011-12 for NHS trusts and NHS foundation trusts ('MHIPSS' worksheet, currency codes MHIPA1-2 and MHIPEDA)</t>
  </si>
  <si>
    <t>This is the average cost per occupied bed day for a mental health inpatient attendance by a child/adolescent (note that this should be differentiated from the separate entry for mental health specialist services inpatient attendance).  It is taken from the NHS Reference Costs 2011-12, using data from the 'MHIP' worksheet.</t>
  </si>
  <si>
    <t>This is the average cost per occupied bed day for a mental health specialist services inpatient attendance by an adult.  It is taken from the NHS Reference Costs 2011-12, using data from the 'MHIPSS' worksheet.</t>
  </si>
  <si>
    <t>New database entry, related to the headline cost HE14.0 (note that a more recent update is not available from the 2013-14 Reference Costs publication)</t>
  </si>
  <si>
    <t>Mental health inpatients, specialist services, hospital attendance - average cost per bed day, children and adolescents</t>
  </si>
  <si>
    <t>National Schedule of Reference Costs 2011-12 for NHS trusts and NHS foundation trusts ('MHIPSS' worksheet, currency codes MHIPC2-3 and MHIPEDC)</t>
  </si>
  <si>
    <t>This is the average cost per occupied bed day for a mental health specialist services inpatient attendance by a child or adolescent.  It is taken from the NHS Reference Costs 2011-12, using data from the 'MHIPSS' worksheet.</t>
  </si>
  <si>
    <t>HE14.0.1</t>
  </si>
  <si>
    <t>HE14.0.2</t>
  </si>
  <si>
    <t>New database entry, related to the headline average cost HE14.0 (note that a more recent update is not available from the 2013-14 Reference Costs publication)</t>
  </si>
  <si>
    <t>This is the average cost per occupied bed day for a mental health specialist services inpatient attendance by all patients (adults, children and adolescents).  It is taken from the NHS Reference Costs 2011-12, using the weighted average of data included on the 'MHIPSS' worksheet.</t>
  </si>
  <si>
    <t>E&amp;E11.0</t>
  </si>
  <si>
    <t>DWP estimate (unpublished)</t>
  </si>
  <si>
    <t>LABOUR COSTS</t>
  </si>
  <si>
    <t>New cost added into database, derived by DWP</t>
  </si>
  <si>
    <t>E&amp;E11.1</t>
  </si>
  <si>
    <t>Troubled Families Programme - Troubled Families Employment Adviser (TFEA), Executive Officer (EO) grade - average staffing cost (national average)</t>
  </si>
  <si>
    <t>Troubled Families Programme - Troubled Families Employment Adviser (TFEA), Higher Executive Officer (HEO) grade - average staffing cost (national average)</t>
  </si>
  <si>
    <t>Youth offender, average cost of a first time entrant (under 18) to the Criminal Justice System in the first year following the offence</t>
  </si>
  <si>
    <t>Updated to just consider the first year following offending with additional years costs included in commentary.  New hyperlink to source</t>
  </si>
  <si>
    <t>Figures derived from 'Revisions made to the multipliers and unit costs of crime used in the Integrated Offender Management Value for Money Toolkit, 2011'.  This estimates the total cost (fiscal, economic and social) of crime.  These costs have been disaggregated to identify the breakdown into fiscal, economic and social elements of the cost of crime and the breakdown of the fiscal costs to each agency using the split of expenditure from Home Office Research Study 217, 2000.  Analysis carried out by New Economy and checked by the Home Office</t>
  </si>
  <si>
    <t>Economic and social values separated out, source reference and comments cell revised.  Restructured / renumbered (no change to fiscal values)</t>
  </si>
  <si>
    <t>Economic value separated out, source reference and comments cell revised.  Restructured / renumbered (no change to fiscal values)</t>
  </si>
  <si>
    <t>Source reference revised.  Restructured / renumbered (no change to fiscal values)</t>
  </si>
  <si>
    <t>Source gives a (non-updated) cost range from £100 - £1,000 for ASB incidents of this kind (ranging from a call-out together with some remedial action, to significant mediation/remediation; falling short of issuing an ASBO, as not used very often).  An approximate average cost of £500 has been selected, and updated to account for inflation.  Note age of data.  Home Office suggest a Red RAG assessment due to the age of data and robustness of methodology.  However, there is no more recent national research in this area.
Note that this cost includes the cost of crimes and criminal justice activity in response; as a result, to avoid double-counting no additional costs of these types should be tacked on for the same incident of anti-social behaviour.</t>
  </si>
  <si>
    <t>Source gives a (non-updated) cost range from £20-£50 for ASB incidents of this kind - mid-point cost value (£35) has been selected, and updated to account for inflation.  Note age of data.  Home Office suggest a Red RAG assessment due to the age of data and robustness of methodology.  However, there is no more recent national research in this area.</t>
  </si>
  <si>
    <t>This cost is based upon the Walby (2009) publication referenced in the source column, which gives data on the total cost of domestic violence (DV) in England and Wales to public services, along with the economic and human/emotional (social) costs.  An average fiscal cost per incident has been derived using data from the British Crime Survey (BCS) on the incidence of DV in England and Wales, which has been factored up to account for a substantial undercount in the main BCS (people are reluctant to answer sensitive questions face-to-face with an interviewer); a multiplier of x5 has been used, based on research in a related Walby report that found that the prevalence of DV identified in the more accurate BCS self-completion module was approximately five times greater than that reported in the face-to-face survey (see Walby, 2004: 'HO Research Study 276 - Domestic violence, sexual assault and stalking - findings from the BCS', p.112).  
The constituent fiscal costs reported in the rows below are derived from evidence on the profile of DV costs across public agencies given in an earlier (2004) Walby report, 'The Cost of Domestic Violence'; this profile was then applied to the updated total cost in the 2009 Walby publication.  Note that the Walby costs are per incident over the lifetime of the victim - we have assumed that the identified fiscal costs are, in the main, likely to be expended relatively soon after the incident, and can therefore be considered as an annual fiscal cost per incident.  Depending on your use of the fiscal unit cost, care should be taken to avoid double-counting - for example, if modelling alongside outcomes relating to child protection and/or statutory homelessness, you may need to exclude the social services and housing services constituent costs detailed here.  
The economic and social costs associated with DV are also derived from Walby's 2009 update paper and 2004 report, following the same approach used to derive the fiscal costs.  The economic cost per incident comprises costs to individual victims of £818, and to employers of £655, related to time off work due to injuries (and also, for individuals, travel/lost wages for GP visits, prescription charges, the cost of setting up new homes/re-possession following divorce and separation due to DV, and civil/legal costs).  The social cost per incident is based upon the human and emotional cost associated with DV (Walby derives this from estimates of what people would pay to avoid injuries/trauma relating to DV).  As with the fiscal costs, we can assume that the economic costs are relatively short-term, so can be considered as an annual economic cost per incident; however, the social costs may be longer-term, particularly in terms of mental health issues, which could endure over the victim's lifetime.  An amber flag has been applied to the costs, given the assumptions involved and the lower level of confidence that can be attached to the data used to derive the per incident values.
Finally, note that this cost includes the cost of individual crimes and criminal justice activity in response; as a result, to avoid double-counting no additional costs of these types should be tacked on for the same incident of Domestic Violence.</t>
  </si>
  <si>
    <t xml:space="preserve">These are the average fiscal, economic and social costs per incident of crime across all crime types - see the subsidiary (and related constituent) costs below for specific types of crime.  Note that for modelling purposes, a multiplier may need to be applied to convert incidents of recorded crime to actual crime (see the CBA Guidance document - the average multiplier for Greater Manchester for 2011/12 was 5.24).  To derive an annual fiscal, economic or social benefit, modelling may also need to take into account the average number of crime incidents committed per individual per year.
The economic value falling to individuals (and/or businesses) includes increased insurance costs and loss of property.  The social value is based upon the physical and emotional impact on direct victims of crime.
Note that this is an overall figure for the cost of crime, which includes a wide range of costs to the criminal justice system and other government departments, individuals and society.  As such, to avoid double-counting, this cost should not be combined with other cost figures for specific crime types. </t>
  </si>
  <si>
    <t>CR9.0</t>
  </si>
  <si>
    <t>Home office analysis (unpublished), based on CIPFA, HO, ASHE and ACPO data</t>
  </si>
  <si>
    <t>New cost added into database, derived by the Home Office</t>
  </si>
  <si>
    <t>CR9.1</t>
  </si>
  <si>
    <t>CR9.2</t>
  </si>
  <si>
    <t>Police Officer, Inspector and above  - cost per hour</t>
  </si>
  <si>
    <t>Police officer, Sergeant and below - cost per hour</t>
  </si>
  <si>
    <t xml:space="preserve">This is the estimated average cost of an hour of a police officer's time, ranked Inspector and above.  It is derived from Home Office analysis of data from the Annual Survey of Hours and Earnings (ONS, 2014) on the pay and hours of police officers, typical rates of National Insurance and information on employer pension contributions from the Home Office’s Police Workforce and Capabilities Unit (2014).  The number of training, sick and leave days are obtained from ACPO statistics and the size of the police workforce from police workforce statistics.  Finally, an on-cost has been applied based on spending on premises, transport, supplies, services and training, which is obtained from CIPFA police actuals (12/13).
</t>
  </si>
  <si>
    <t>This is the estimated average cost of an hour of a police officer's time, ranked Sergeant and below.  It is derived from Home Office analysis of data from the Annual Survey of Hours and Earnings (ONS, 2014) on the pay and hours of police officers, typical rates of National Insurance and information on employer pension contributions from the Home Office’s Police Workforce and Capabilities Unit (2014).  The number of training, sick and leave days are obtained from ACPO statistics and the size of the police workforce from police workforce statistics.  Finally, an on-cost has been applied based on spending on premises, transport, supplies, services and training, which is obtained from CIPFA police actuals (12/13).</t>
  </si>
  <si>
    <t>This is the estimated average cost of an hour of a Police Community Support Officer's (PCSO) time.  It is derived from Home Office analysis of data from the Annual Survey of Hours and Earnings (ONS, 2014) on the pay and hours of police officers, typical rates of National Insurance and information on employer pension contributions from the Home Office’s Police Workforce and Capabilities Unit (2014).  The number of training, sick and leave days are obtained from ACPO statistics and the size of the police workforce from police workforce statistics.  Finally, an on-cost has been applied based on spending on premises, transport, supplies, services and training, which is obtained from CIPFA police actuals (12/13).</t>
  </si>
  <si>
    <t>Police Community Support Officer (PCSO) - cost per hour</t>
  </si>
  <si>
    <t>https://www.gov.uk/government/statistics/gdp-deflators-at-market-prices-and-money-gdp-march-2015-budget-2015</t>
  </si>
  <si>
    <t>• GDP Lookup Tables are based on 'GDP deflators at market prices, and money GDP: March 2015 (Budget 2015)', released on 19 March 2015</t>
  </si>
  <si>
    <t>f = forecast, showing % changes in line with the March 2015 Budget (forecast data are consistent with Office of Budget Responsibility data as at the 18 March 2015 Budget)</t>
  </si>
  <si>
    <t>• GDP Lookup Tables can be amended for new releases by changing the column '% change on previous year'</t>
  </si>
  <si>
    <t>An Approved Social Worker (ASW) is a social worker with responsibility for assessing someone’s needs, care and treatment under the Mental Health Act 1983.  This is the cost per hour for a Approved Social Worker's time including qualification costs, calculated pro-rata from data on mean salary and working hours, on-costs (national insurance, pensions), overheads (administration, management, office, training, utilities, general management and support services such as finance and HR), capital and qualification costs.  The source also gives an (un-updated) cost of £151 for the cost per hour of face-to-face contact, including qualification costs.  The data are national averages - multipliers are provided, for use in calculating average costs for London and out-of-London.  Related data are given below for cost per hour without qualification costs.  All costs quoted here are at 2012-13 prices.</t>
  </si>
  <si>
    <t>An Approved Social Worker (ASW) is a social worker with responsibility for assessing someone’s needs, care and treatment under the Mental Health Act 1983.  This is the cost per hour for a Approved Social Worker's time excluding qualification costs, calculated pro-rata from data on mean salary and working hours, on-costs (national insurance, pensions), overheads (administration, management, office, training, utilities, general management and support services such as finance and HR), and capital costs.  The source also gives an (un-updated) cost of £115 for the cost per hour of face-to-face contact, excluding qualification costs.  The data are national averages - multipliers are provided, for use in calculating average costs for London and out-of-London.  Related data are given above for cost per hour including qualification costs.  All costs quoted here are at 2012-13 prices.</t>
  </si>
  <si>
    <t>This is a constituent element to the above cost line on the average total cost of case management processes for children in need over a six month period.  It gives the average cost of an initial assessment of a referral that is deemed to meet the threshold for intervention.  This assessment establishes the needs of the family and develops a plan of support.
The cost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Statutory guidance ‘Working Together to Safeguard Children’ was revised in 2013, giving local authorities more flexibility when assessing children.  Previously, local authorities carried out an initial assessment within ten working days and (where needed) a more in-depth core assessment within 35 working days.  Local authorities now have the flexibility to carry out a single continuous assessment within 45 working days.  In 2013/14, 108 local authorities had changed to using single continuous assessments (see https://www.gov.uk/government/statistics/characteristics-of-children-in-need-2013-to-2014).  As these changes post-date the 2010 report from which these costs have been sourced, we recommend using this entry as a lower-bound estimate of the cost of a single assessment until research establishes a bespoke estimate for the single assessment itself.  
The estimated cost/saving for London authorities is £327.  The source also quotes data for an 'if child previously known to social care' scenario, with an out-of-London cost of £334 and a London cost of £402 (all costs at 2008-09 prices).
In addition to the hyperlinked source, see Holmes, L. and McDermid, S. (2012) Understanding costs and outcomes in child welfare services, London: Jessica Kingsley Publishers.</t>
  </si>
  <si>
    <t>This is a constituent element to the above cost line on the average total cost of case management processes for children in need over a six month period.  It gives the average cost of closing a case.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The quoted value is the 'standard cost' for out-of-London provision; the equivalent cost for London authorities is £239 (2008-09 prices).
In addition to the hyperlinked source, see Holmes, L. and McDermid, S. (2012) Understanding costs and outcomes in child welfare services, London: Jessica Kingsley Publishers.</t>
  </si>
  <si>
    <t>Children in Need, case management processes - average cost of ongoing support, per month (standard cost)</t>
  </si>
  <si>
    <t>Children in Need - average total cost of case management processes over a six month period (standard cost)</t>
  </si>
  <si>
    <t>Children in Need, case management processes - average cost of initial contact and referral (standard cost)</t>
  </si>
  <si>
    <t>Children in Need, case management processes - average cost of initial assessment / single assessment (standard cost)</t>
  </si>
  <si>
    <t>Children in Need, case management processes - average cost of closing a case (standard cost)</t>
  </si>
  <si>
    <t>Children in Need, case management processes - average cost of core assessment (standard cost)</t>
  </si>
  <si>
    <t>Children in Need, case management processes - average cost of Child in Need plan review (standard cost)</t>
  </si>
  <si>
    <t>Children in Need, case management processes - average cost of Section 47 enquiry (standard cost)</t>
  </si>
  <si>
    <t>Children in Need, case management processes - average cost of Public Law Outline (standard cost)</t>
  </si>
  <si>
    <r>
      <t xml:space="preserve">This is a constituent element to the above cost line on the average total cost of case management processes for children in need over a six month period.  It gives the average cost of the activity undertaken from the point at which a concern is raised about a child or a referral comes into social care whereby a social worker, with their manager, decides on the next course of action.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The quoted value is an estimated cost/saving for out-of-London authorities; the estimated cost/saving for London authorities is £224.  The source also quotes data for initial contact and referral 'if no further action' is required, which has an estimated cost/saving for out-of-London authorities of £207 and London authorities of £249 (all costs at 2008-09 prices).
In addition to the hyperlinked source, see Holmes, L. and McDermid, S. (2012) </t>
    </r>
    <r>
      <rPr>
        <i/>
        <sz val="10"/>
        <color indexed="8"/>
        <rFont val="Arial"/>
        <family val="2"/>
      </rPr>
      <t>Understanding costs and outcomes in child welfare services</t>
    </r>
    <r>
      <rPr>
        <sz val="10"/>
        <color indexed="8"/>
        <rFont val="Arial"/>
        <family val="2"/>
      </rPr>
      <t>, London: Jessica Kingsley Publishers.</t>
    </r>
  </si>
  <si>
    <t>This is a constituent element to the above cost line on the average total cost of case management processes for children in need over a six month period.  It captures the on-going social work activity to support the child and to achieve the outcomes outlined in the Child in Need or Child Protection Plan.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Note that unlike the other case management process costs, which are individual, one-off occurrences, this is a cost per month.  The quoted value is the 'standard cost' for out-of-London provision; the equivalent standard cost for London authorities is £128 per month.  The source also quotes data for a range of other scenarios: the out of London cost for a child under six is £192 per month (London cost £230); out-of-London cost if a Child Protection Plan is in place is £263 (London £316); out-of-London cost for a child under six with a Child Protection Plan is £410 (London £491); out-of-London cost if the child has emotional or behavioural difficulties is £199 (London £238); out-of-London cost if the child has emotional or behavioural difficulties plus one other factor is £499 (London £598) (all costs quoted in this cell are at 2008-09 prices).
An overall average on-going cost/saving across all types of children is provided in the 2012 publication (see reference below) that expands upon the 2010 paper from which these values are quoted - this is £187 per month for out-of-London authorities and £224 for London authorities.  If preferred to the standard costs detailed here, these averages can be used (potentially alongside variants quoted in the Comment cells for other constituent costs) to build up a different 'headline' cost/saving over a specific time period, as an alternative to the (six month) value given for entry SS5.0.
In addition to the hyperlinked source, see Holmes, L. and McDermid, S. (2012) Understanding costs and outcomes in child welfare services, London: Jessica Kingsley Publishers.</t>
  </si>
  <si>
    <t>Comment cell revised, including referencing an average ongoing monthly cost/saving across all types of children from the 2012 publication</t>
  </si>
  <si>
    <t>This is a constituent element to the above cost line on the average total cost of case management processes for children in need over a six month period.  It gives the average cost of undertaking a core assessment.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Statutory guidance ‘Working Together to Safeguard Children’ was revised in 2013, giving local authorities more flexibility when assessing children.  Previously, local authorities carried out an initial assessment within ten working days and (where needed) a more in-depth core assessment within 35 working days.  Local authorities now have the flexibility to carry out a single continuous assessment within 45 working days.  In 2013/14, 108 local authorities had changed to using single continuous assessments (see https://www.gov.uk/government/statistics/characteristics-of-children-in-need-2013-to-2014).  As these changes post-date the 2010 report from which these costs have been sourced, we recommend using this entry if the core assessment is still being carried out (it will remain in use by some local authorities in 2015-16).  Note that the 'headline' value (SS5.0) does not include the cost/saving associated with core assessments, and only includes the 'initial assessment / single assessment' value.
The quoted value is the 'standard cost' for out-of-London provision; the equivalent cost for London authorities is £703 (2008-09 prices).
In addition to the hyperlinked source, see Holmes, L. and McDermid, S. (2012) Understanding costs and outcomes in child welfare services, London: Jessica Kingsley Publishers.</t>
  </si>
  <si>
    <t>This is a constituent element to the above cost line on the average total cost of case management processes for children in need over a six month period.  It gives the cost of a review for children receiving support under Section 17 of the Children Act and outlined in a Children in Need plan.  This includes the time for preparation, follow up work undertaken, and the time spent at the actual meeting.  These plans are reviewed when appropriate.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The estimated cost/saving for London authorities is £268.  The source also quotes data for an 'if Child Protection case conference review' scenario, with an out-of-London cost of £378, and a London cost of £473 (all costs quoted in this cell are at 2008/09 prices).  Child Protection case conference reviews are undertaken for children subject to a Child Protection Plan, and consider whether the Child Protection Plan should continue or be changed.  This includes the time for preparation, follow up work undertaken, and the time spent at the actual meeting.  The first review should be held within three months of the initial child protection conference, and further reviews at intervals of no more than six months for as long as the child remains subject of a Child Protection Plan.
In addition to the hyperlinked source, see Holmes, L. and McDermid, S. (2012) Understanding costs and outcomes in child welfare services, London: Jessica Kingsley Publishers.</t>
  </si>
  <si>
    <t>This is a constituent element to the above cost line on the average total cost of case management processes for children in need over a six month period.  It gives the standard cost of an in-depth assessment of a child’s needs where there may be a child protection concern.  This includes the initial strategy discussion, a strategy meeting, an achieving best evidence interview, and the initial child protection conference, where appropriate.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The estimated cost/saving for London authorities is £614.  The source also quotes data for the following scenarios: out-of-London cost 'if strategy meeting held' is £661 (London £795); out-of-London cost 'including Achieving Best Evidence interview' is £889 (London £1,068) (all costs quoted in this cell are at 2008/09 prices).
In addition to the hyperlinked source, see Holmes, L. and McDermid, S. (2012) Understanding costs and outcomes in child welfare services, London: Jessica Kingsley Publishers.</t>
  </si>
  <si>
    <t>This is a constituent element to the above cost line on the average total cost of case management processes for children in need over a six month period.  It gives the average cost of a Public Law Outline, which is a special meeting instigated by the local authority if they feel that they cannot safely protect a child by a Child Protection Plan and are considering issuing care proceedings.
The estimate comes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The quoted value is the 'standard cost' for out-of-London provision; the equivalent cost for London authorities is £2,687 (2008-09 prices).
In addition to the hyperlinked source, see Holmes, L. and McDermid, S. (2012) Understanding costs and outcomes in child welfare services, London: Jessica Kingsley Publishers.</t>
  </si>
  <si>
    <t>This is one of a set of data covering the average cost of Children in Need case management processes for children with varying needs.  The estimates come from a study commissioned by the Department for Children, Schools and Families, finalised in 2010, and drawing on data from four local authorities that participated in the in-depth part of the work.  A bottom-up methodology was used, with activity-level data on key social care processes collected via focus group discussions, verification questionnaires and event records.  The average times for each post holder for the key case management processes were then derived.  Unit costs of post holder time per hour were derived from data gathered from the local authorities and include salary, salary-on costs, and overhead costs such as premises, management, HR and office running costs.  The cost from this study relates to social care management and support to the day to day needs of a case, and not additional services supplied to children and families to address their specific needs.
This cost represents an average total cost for the entire case management process for all Children in Need participating in the sample used in the research study, regardless of level of need.  Comparable data for children with specific levels of need are as follows: Children in Need with no specified additional need type, £905; Children in Need under six years old, £1,387; Children who have a Child Protection Plan, £1,864; Children under six years old who have a Child Protection Plan, £3,069; Children in Need with emotional or behavioural difficulties, £1,494; Children in Need with emotional or behavioural difficulties and another factor, £3,205 (all costs quoted in this cell are at 2008/09 prices).  The constituent costs from which the overall costs are derived are outlined below.  Note that the study defines Children in Need in line with the Children Act 1989, constituting children who are identified as in need under Section 17 of the Act, but who remain with their families.  Although the constituent costs differentiate between London and out-of-London costs, this cost line provides an average cost/saving that is not differentiated by location, with the data representing an average across the local areas participating in the study (both within and outside London).
Note that the cost derivation is based upon the initial and core assessment processes detailed in the constituent cost lines.  Further research will be needed to derive a new average value based upon the single continuous assessment that incorporates both the initial and core assessments (see the Comment to constituent cost 5.0.2).  Users may wish to derive their own average aggregate cost, over a time period of their choosing, using a 'bottom up' approach and drawing on appropriate constituent costs and/or the alternative values provided in the Comment cells.
In addition to the hyperlinked source, see Holmes, L. and McDermid, S. (2012) Understanding costs and outcomes in child welfare services, London: Jessica Kingsley Publishers.</t>
  </si>
  <si>
    <t>Comment cell slightly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</si>
</sst>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Red]\-&quot;£&quot;#,##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yyyy/yy"/>
    <numFmt numFmtId="170" formatCode="0.0000"/>
    <numFmt numFmtId="171" formatCode="&quot;£&quot;#,##0.00"/>
    <numFmt numFmtId="172" formatCode="General_)"/>
    <numFmt numFmtId="173" formatCode="#\ ##0"/>
  </numFmts>
  <fonts count="36" x14ac:knownFonts="1">
    <font>
      <sz val="11"/>
      <color theme="1"/>
      <name val="Arial"/>
      <family val="2"/>
    </font>
    <font>
      <sz val="11"/>
      <color indexed="8"/>
      <name val="Calibri"/>
      <family val="2"/>
    </font>
    <font>
      <sz val="10"/>
      <name val="Arial"/>
      <family val="2"/>
    </font>
    <font>
      <sz val="10"/>
      <name val="Arial"/>
      <family val="2"/>
    </font>
    <font>
      <u/>
      <sz val="10"/>
      <color indexed="12"/>
      <name val="Arial"/>
      <family val="2"/>
    </font>
    <font>
      <sz val="8"/>
      <name val="Arial"/>
      <family val="2"/>
    </font>
    <font>
      <sz val="11"/>
      <color indexed="8"/>
      <name val="Arial"/>
      <family val="2"/>
    </font>
    <font>
      <sz val="10"/>
      <color indexed="8"/>
      <name val="Arial"/>
      <family val="2"/>
    </font>
    <font>
      <b/>
      <sz val="10"/>
      <color indexed="9"/>
      <name val="Arial"/>
      <family val="2"/>
    </font>
    <font>
      <b/>
      <sz val="10"/>
      <color indexed="8"/>
      <name val="Arial"/>
      <family val="2"/>
    </font>
    <font>
      <b/>
      <sz val="24"/>
      <color indexed="8"/>
      <name val="Arial"/>
      <family val="2"/>
    </font>
    <font>
      <sz val="14"/>
      <color indexed="8"/>
      <name val="Arial"/>
      <family val="2"/>
    </font>
    <font>
      <sz val="11"/>
      <color indexed="10"/>
      <name val="Arial"/>
      <family val="2"/>
    </font>
    <font>
      <u/>
      <sz val="14"/>
      <color indexed="12"/>
      <name val="Arial"/>
      <family val="2"/>
    </font>
    <font>
      <b/>
      <sz val="10"/>
      <name val="Arial"/>
      <family val="2"/>
    </font>
    <font>
      <b/>
      <sz val="14"/>
      <color indexed="8"/>
      <name val="Arial"/>
      <family val="2"/>
    </font>
    <font>
      <i/>
      <sz val="10"/>
      <color indexed="8"/>
      <name val="Arial"/>
      <family val="2"/>
    </font>
    <font>
      <sz val="9"/>
      <color indexed="18"/>
      <name val="Arial"/>
      <family val="2"/>
    </font>
    <font>
      <b/>
      <sz val="12"/>
      <color indexed="8"/>
      <name val="Arial"/>
      <family val="2"/>
    </font>
    <font>
      <i/>
      <sz val="10"/>
      <name val="Arial"/>
      <family val="2"/>
    </font>
    <font>
      <sz val="10"/>
      <name val="Arial"/>
      <family val="2"/>
    </font>
    <font>
      <b/>
      <u/>
      <sz val="10"/>
      <color indexed="8"/>
      <name val="Arial"/>
      <family val="2"/>
    </font>
    <font>
      <u/>
      <sz val="10"/>
      <color indexed="8"/>
      <name val="Arial"/>
      <family val="2"/>
    </font>
    <font>
      <u/>
      <sz val="16"/>
      <color indexed="12"/>
      <name val="Arial"/>
      <family val="2"/>
    </font>
    <font>
      <sz val="10"/>
      <color indexed="8"/>
      <name val="Arial"/>
      <family val="2"/>
    </font>
    <font>
      <i/>
      <sz val="14"/>
      <color indexed="8"/>
      <name val="Arial"/>
      <family val="2"/>
    </font>
    <font>
      <b/>
      <sz val="10"/>
      <color indexed="9"/>
      <name val="Arial"/>
      <family val="2"/>
    </font>
    <font>
      <sz val="8"/>
      <color indexed="81"/>
      <name val="Tahoma"/>
      <family val="2"/>
    </font>
    <font>
      <sz val="10"/>
      <color indexed="23"/>
      <name val="Arial"/>
      <family val="2"/>
    </font>
    <font>
      <sz val="14"/>
      <color indexed="8"/>
      <name val="Arial"/>
      <family val="2"/>
    </font>
    <font>
      <sz val="10"/>
      <color indexed="8"/>
      <name val="Arial"/>
      <family val="2"/>
    </font>
    <font>
      <sz val="10"/>
      <name val="System"/>
      <family val="2"/>
    </font>
    <font>
      <sz val="10"/>
      <name val="System"/>
    </font>
    <font>
      <b/>
      <sz val="11"/>
      <color theme="1"/>
      <name val="Arial"/>
      <family val="2"/>
    </font>
    <font>
      <u/>
      <sz val="10"/>
      <color theme="10"/>
      <name val="Arial"/>
      <family val="2"/>
    </font>
    <font>
      <sz val="10"/>
      <color theme="1"/>
      <name val="Arial"/>
      <family val="2"/>
    </font>
  </fonts>
  <fills count="9">
    <fill>
      <patternFill patternType="none"/>
    </fill>
    <fill>
      <patternFill patternType="gray125"/>
    </fill>
    <fill>
      <patternFill patternType="solid">
        <fgColor indexed="47"/>
        <bgColor indexed="64"/>
      </patternFill>
    </fill>
    <fill>
      <patternFill patternType="solid">
        <fgColor indexed="56"/>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
      <patternFill patternType="solid">
        <fgColor indexed="53"/>
        <bgColor indexed="64"/>
      </patternFill>
    </fill>
    <fill>
      <patternFill patternType="solid">
        <fgColor indexed="2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10"/>
      </left>
      <right/>
      <top style="double">
        <color indexed="10"/>
      </top>
      <bottom/>
      <diagonal/>
    </border>
    <border>
      <left/>
      <right style="double">
        <color indexed="10"/>
      </right>
      <top/>
      <bottom/>
      <diagonal/>
    </border>
    <border>
      <left style="double">
        <color indexed="10"/>
      </left>
      <right/>
      <top/>
      <bottom/>
      <diagonal/>
    </border>
    <border>
      <left style="double">
        <color indexed="10"/>
      </left>
      <right/>
      <top/>
      <bottom style="double">
        <color indexed="10"/>
      </bottom>
      <diagonal/>
    </border>
    <border>
      <left/>
      <right style="double">
        <color indexed="10"/>
      </right>
      <top/>
      <bottom style="double">
        <color indexed="10"/>
      </bottom>
      <diagonal/>
    </border>
    <border>
      <left/>
      <right/>
      <top/>
      <bottom style="double">
        <color indexed="10"/>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double">
        <color indexed="10"/>
      </right>
      <top style="double">
        <color indexed="10"/>
      </top>
      <bottom/>
      <diagonal/>
    </border>
    <border>
      <left/>
      <right/>
      <top style="thin">
        <color indexed="64"/>
      </top>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9"/>
      </right>
      <top style="thin">
        <color indexed="64"/>
      </top>
      <bottom style="thin">
        <color indexed="9"/>
      </bottom>
      <diagonal/>
    </border>
    <border>
      <left/>
      <right/>
      <top style="double">
        <color indexed="10"/>
      </top>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s>
  <cellStyleXfs count="56">
    <xf numFmtId="0" fontId="0" fillId="0" borderId="0"/>
    <xf numFmtId="0" fontId="33" fillId="0" borderId="0" applyNumberFormat="0" applyFill="0" applyBorder="0" applyAlignment="0" applyProtection="0"/>
    <xf numFmtId="166" fontId="31"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7" fontId="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4" fillId="0" borderId="0" applyFon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73"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32" fillId="0" borderId="0"/>
    <xf numFmtId="0" fontId="2" fillId="0" borderId="0"/>
    <xf numFmtId="173" fontId="31" fillId="0" borderId="0"/>
    <xf numFmtId="0" fontId="1" fillId="0" borderId="0"/>
    <xf numFmtId="0" fontId="2" fillId="0" borderId="0"/>
    <xf numFmtId="173" fontId="31" fillId="0" borderId="0"/>
    <xf numFmtId="173" fontId="31" fillId="0" borderId="0"/>
    <xf numFmtId="173" fontId="31" fillId="0" borderId="0"/>
    <xf numFmtId="173" fontId="31" fillId="0" borderId="0"/>
    <xf numFmtId="173" fontId="31" fillId="0" borderId="0"/>
    <xf numFmtId="173" fontId="31" fillId="0" borderId="0"/>
    <xf numFmtId="173" fontId="31" fillId="0" borderId="0"/>
    <xf numFmtId="173" fontId="31" fillId="0" borderId="0"/>
    <xf numFmtId="173" fontId="31" fillId="0" borderId="0"/>
    <xf numFmtId="0" fontId="3" fillId="0" borderId="0"/>
    <xf numFmtId="173" fontId="31" fillId="0" borderId="0"/>
    <xf numFmtId="0" fontId="1" fillId="0" borderId="0"/>
    <xf numFmtId="0" fontId="35" fillId="0" borderId="0"/>
    <xf numFmtId="173" fontId="31" fillId="0" borderId="0"/>
    <xf numFmtId="0" fontId="1" fillId="0" borderId="0"/>
    <xf numFmtId="0" fontId="20" fillId="0" borderId="0"/>
    <xf numFmtId="173" fontId="31" fillId="0" borderId="0"/>
    <xf numFmtId="173" fontId="31" fillId="0" borderId="0"/>
    <xf numFmtId="173" fontId="31" fillId="0" borderId="0"/>
    <xf numFmtId="0" fontId="6" fillId="0" borderId="0"/>
    <xf numFmtId="9" fontId="6" fillId="0" borderId="0" applyFont="0" applyFill="0" applyBorder="0" applyAlignment="0" applyProtection="0"/>
    <xf numFmtId="0" fontId="2" fillId="0" borderId="0"/>
    <xf numFmtId="0" fontId="14" fillId="0" borderId="0" applyFont="0"/>
    <xf numFmtId="172" fontId="18" fillId="0" borderId="0"/>
  </cellStyleXfs>
  <cellXfs count="223">
    <xf numFmtId="0" fontId="0" fillId="0" borderId="0" xfId="0"/>
    <xf numFmtId="0" fontId="11" fillId="2" borderId="0" xfId="0" applyFont="1" applyFill="1" applyBorder="1" applyAlignment="1">
      <alignment wrapText="1"/>
    </xf>
    <xf numFmtId="0" fontId="11" fillId="2" borderId="0" xfId="0" applyFont="1" applyFill="1" applyBorder="1" applyAlignment="1">
      <alignment wrapText="1"/>
    </xf>
    <xf numFmtId="0" fontId="7" fillId="0" borderId="1" xfId="0" applyFont="1" applyBorder="1"/>
    <xf numFmtId="0" fontId="2" fillId="0" borderId="1" xfId="0" applyFont="1" applyFill="1" applyBorder="1" applyAlignment="1">
      <alignment horizontal="left" vertical="top" wrapText="1"/>
    </xf>
    <xf numFmtId="0" fontId="7" fillId="0" borderId="0" xfId="0" applyFont="1"/>
    <xf numFmtId="0" fontId="7" fillId="0" borderId="0" xfId="51" applyFont="1"/>
    <xf numFmtId="2" fontId="7" fillId="0" borderId="0" xfId="51" applyNumberFormat="1" applyFont="1"/>
    <xf numFmtId="0" fontId="7" fillId="0" borderId="1" xfId="51" applyFont="1" applyBorder="1"/>
    <xf numFmtId="0" fontId="7" fillId="0" borderId="1" xfId="0" applyFont="1" applyBorder="1" applyAlignment="1">
      <alignment horizontal="center"/>
    </xf>
    <xf numFmtId="0" fontId="7" fillId="0" borderId="0" xfId="51" applyFont="1" applyAlignment="1">
      <alignment horizontal="right"/>
    </xf>
    <xf numFmtId="165" fontId="2" fillId="0" borderId="1" xfId="0" applyNumberFormat="1" applyFont="1" applyFill="1" applyBorder="1" applyAlignment="1">
      <alignment horizontal="left" vertical="top" wrapText="1"/>
    </xf>
    <xf numFmtId="171" fontId="2" fillId="0" borderId="1" xfId="0" applyNumberFormat="1" applyFont="1" applyFill="1" applyBorder="1" applyAlignment="1" applyProtection="1">
      <alignment horizontal="left" vertical="top" wrapText="1"/>
      <protection locked="0"/>
    </xf>
    <xf numFmtId="0" fontId="7" fillId="0" borderId="1" xfId="0" applyFont="1" applyFill="1" applyBorder="1" applyAlignment="1">
      <alignment horizontal="left" vertical="top" wrapText="1"/>
    </xf>
    <xf numFmtId="4" fontId="2" fillId="0" borderId="1" xfId="0" applyNumberFormat="1" applyFont="1" applyFill="1" applyBorder="1" applyAlignment="1">
      <alignment horizontal="left" vertical="top" wrapText="1"/>
    </xf>
    <xf numFmtId="165" fontId="7" fillId="0" borderId="1" xfId="0" applyNumberFormat="1" applyFont="1" applyFill="1" applyBorder="1" applyAlignment="1">
      <alignment horizontal="left" vertical="top" wrapText="1"/>
    </xf>
    <xf numFmtId="0" fontId="4" fillId="0" borderId="1" xfId="10" applyFill="1" applyBorder="1" applyAlignment="1" applyProtection="1">
      <alignment horizontal="left" vertical="top" wrapText="1"/>
    </xf>
    <xf numFmtId="0" fontId="7" fillId="0" borderId="1" xfId="0" applyFont="1" applyBorder="1" applyAlignment="1">
      <alignment horizontal="center" vertical="top" wrapText="1"/>
    </xf>
    <xf numFmtId="0" fontId="12" fillId="0" borderId="0" xfId="0" applyFont="1"/>
    <xf numFmtId="165" fontId="7" fillId="0" borderId="1" xfId="0" applyNumberFormat="1" applyFont="1" applyBorder="1" applyAlignment="1" applyProtection="1">
      <alignment horizontal="left" vertical="top" wrapText="1"/>
      <protection hidden="1"/>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0" borderId="0" xfId="0" applyBorder="1"/>
    <xf numFmtId="0" fontId="0" fillId="2" borderId="0" xfId="0" applyFill="1" applyBorder="1"/>
    <xf numFmtId="0" fontId="11" fillId="2" borderId="0" xfId="0" applyFont="1" applyFill="1" applyBorder="1" applyAlignment="1">
      <alignment horizontal="left"/>
    </xf>
    <xf numFmtId="0" fontId="13" fillId="2" borderId="0" xfId="10" applyFont="1" applyFill="1" applyBorder="1" applyAlignment="1" applyProtection="1">
      <alignment horizontal="left"/>
    </xf>
    <xf numFmtId="0" fontId="0" fillId="2" borderId="7" xfId="0" applyFill="1" applyBorder="1"/>
    <xf numFmtId="0" fontId="8" fillId="3" borderId="8" xfId="0" applyFont="1" applyFill="1" applyBorder="1" applyAlignment="1">
      <alignment horizontal="center" vertical="center"/>
    </xf>
    <xf numFmtId="0" fontId="8" fillId="3" borderId="8" xfId="51" applyFont="1" applyFill="1" applyBorder="1" applyAlignment="1">
      <alignment horizontal="center" vertical="center"/>
    </xf>
    <xf numFmtId="0" fontId="8" fillId="3" borderId="1" xfId="51" applyFont="1" applyFill="1" applyBorder="1" applyAlignment="1">
      <alignment horizontal="center" vertical="center" wrapText="1"/>
    </xf>
    <xf numFmtId="0" fontId="0" fillId="2" borderId="0" xfId="0" applyFill="1" applyBorder="1" applyAlignment="1">
      <alignment horizontal="center"/>
    </xf>
    <xf numFmtId="0" fontId="10" fillId="2" borderId="4" xfId="0" applyFont="1" applyFill="1" applyBorder="1" applyAlignment="1">
      <alignment horizontal="center" vertical="center"/>
    </xf>
    <xf numFmtId="0" fontId="0" fillId="2" borderId="3" xfId="0" applyFill="1" applyBorder="1" applyAlignment="1"/>
    <xf numFmtId="0" fontId="4" fillId="0" borderId="1" xfId="10" applyFont="1" applyBorder="1" applyAlignment="1" applyProtection="1">
      <alignment horizontal="left" vertical="top" wrapText="1"/>
    </xf>
    <xf numFmtId="0" fontId="7" fillId="4" borderId="1" xfId="0" applyFont="1" applyFill="1" applyBorder="1" applyAlignment="1">
      <alignment horizontal="left" vertical="top" wrapText="1"/>
    </xf>
    <xf numFmtId="0" fontId="7" fillId="0" borderId="1" xfId="0" applyFont="1" applyBorder="1" applyAlignment="1">
      <alignment horizontal="center" wrapText="1"/>
    </xf>
    <xf numFmtId="0" fontId="0" fillId="2" borderId="0" xfId="0" applyFill="1" applyBorder="1" applyAlignment="1"/>
    <xf numFmtId="0" fontId="7" fillId="0" borderId="0" xfId="0" applyFont="1" applyFill="1" applyAlignment="1">
      <alignment horizontal="left" vertical="top" wrapText="1"/>
    </xf>
    <xf numFmtId="0" fontId="7" fillId="0" borderId="9" xfId="0" applyFont="1" applyBorder="1"/>
    <xf numFmtId="0" fontId="9"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7" fillId="4" borderId="1" xfId="0" applyFont="1" applyFill="1" applyBorder="1" applyAlignment="1">
      <alignment horizontal="left" vertical="top" wrapText="1" indent="2"/>
    </xf>
    <xf numFmtId="0" fontId="7" fillId="5" borderId="1" xfId="0"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indent="2"/>
    </xf>
    <xf numFmtId="0" fontId="0" fillId="2" borderId="10" xfId="0" applyFill="1" applyBorder="1" applyAlignment="1">
      <alignment horizontal="center"/>
    </xf>
    <xf numFmtId="165" fontId="7" fillId="0" borderId="1" xfId="5" applyNumberFormat="1" applyFont="1" applyFill="1" applyBorder="1" applyAlignment="1">
      <alignment horizontal="left" vertical="top" wrapText="1"/>
    </xf>
    <xf numFmtId="0" fontId="7" fillId="0" borderId="0" xfId="0" applyFont="1" applyAlignment="1">
      <alignment wrapText="1"/>
    </xf>
    <xf numFmtId="0" fontId="14"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0" borderId="1" xfId="0" applyFont="1" applyFill="1" applyBorder="1" applyAlignment="1">
      <alignment horizontal="left" vertical="top" wrapText="1" indent="2"/>
    </xf>
    <xf numFmtId="165" fontId="2" fillId="4" borderId="1" xfId="0" applyNumberFormat="1" applyFont="1" applyFill="1" applyBorder="1" applyAlignment="1">
      <alignment horizontal="left" vertical="top" wrapText="1"/>
    </xf>
    <xf numFmtId="0" fontId="2" fillId="0" borderId="0" xfId="0" applyFont="1" applyFill="1" applyAlignment="1">
      <alignment horizontal="left" vertical="top" wrapText="1"/>
    </xf>
    <xf numFmtId="0" fontId="2" fillId="0" borderId="0" xfId="0" applyFont="1" applyAlignment="1">
      <alignment horizontal="left" vertical="top" wrapText="1"/>
    </xf>
    <xf numFmtId="0" fontId="2" fillId="0" borderId="1" xfId="0" applyNumberFormat="1" applyFont="1" applyFill="1" applyBorder="1" applyAlignment="1">
      <alignment horizontal="left" vertical="top" wrapText="1"/>
    </xf>
    <xf numFmtId="0" fontId="7" fillId="0" borderId="1" xfId="0" applyFont="1" applyBorder="1" applyAlignment="1">
      <alignment horizontal="center" vertical="center" wrapText="1"/>
    </xf>
    <xf numFmtId="0" fontId="7" fillId="0" borderId="0" xfId="0" applyFont="1" applyAlignment="1">
      <alignment horizontal="left" vertical="top" wrapText="1"/>
    </xf>
    <xf numFmtId="0" fontId="7"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7" fillId="0" borderId="1" xfId="51" applyFont="1" applyBorder="1" applyAlignment="1">
      <alignment horizontal="center" vertical="center"/>
    </xf>
    <xf numFmtId="170" fontId="7" fillId="0" borderId="1" xfId="52" applyNumberFormat="1" applyFont="1" applyBorder="1" applyAlignment="1">
      <alignment horizontal="center" vertical="center"/>
    </xf>
    <xf numFmtId="2" fontId="7" fillId="0" borderId="1" xfId="51" applyNumberFormat="1" applyFont="1" applyBorder="1" applyAlignment="1">
      <alignment horizontal="center" vertical="center"/>
    </xf>
    <xf numFmtId="169" fontId="7" fillId="0" borderId="1" xfId="51" applyNumberFormat="1" applyFont="1" applyBorder="1" applyAlignment="1">
      <alignment horizontal="center" vertical="center"/>
    </xf>
    <xf numFmtId="169" fontId="7" fillId="0" borderId="1" xfId="51" applyNumberFormat="1" applyFont="1" applyFill="1" applyBorder="1" applyAlignment="1">
      <alignment horizontal="center" vertical="center"/>
    </xf>
    <xf numFmtId="2" fontId="7" fillId="0" borderId="1" xfId="52" applyNumberFormat="1" applyFont="1" applyBorder="1" applyAlignment="1">
      <alignment horizontal="center" vertical="center"/>
    </xf>
    <xf numFmtId="0" fontId="9" fillId="0" borderId="11" xfId="51" applyFont="1" applyBorder="1" applyAlignment="1">
      <alignment horizontal="center" vertical="center"/>
    </xf>
    <xf numFmtId="0" fontId="7" fillId="0" borderId="0" xfId="0" applyFont="1" applyAlignment="1">
      <alignment vertical="top"/>
    </xf>
    <xf numFmtId="0" fontId="4" fillId="0" borderId="0" xfId="10" applyAlignment="1" applyProtection="1"/>
    <xf numFmtId="0" fontId="2" fillId="0" borderId="1" xfId="0" applyFont="1" applyBorder="1"/>
    <xf numFmtId="0" fontId="7" fillId="0" borderId="0" xfId="0" applyFont="1" applyBorder="1"/>
    <xf numFmtId="0" fontId="24" fillId="0" borderId="1" xfId="0" applyFont="1" applyBorder="1" applyAlignment="1">
      <alignment horizontal="center" vertical="center" wrapText="1"/>
    </xf>
    <xf numFmtId="0" fontId="4" fillId="0" borderId="1" xfId="10" applyFont="1" applyFill="1" applyBorder="1" applyAlignment="1" applyProtection="1">
      <alignment horizontal="left" vertical="top" wrapText="1"/>
    </xf>
    <xf numFmtId="0" fontId="4" fillId="4" borderId="1" xfId="10" applyFont="1" applyFill="1" applyBorder="1" applyAlignment="1" applyProtection="1">
      <alignment horizontal="left" vertical="top" wrapText="1"/>
    </xf>
    <xf numFmtId="0" fontId="24" fillId="0" borderId="0" xfId="0" applyFont="1"/>
    <xf numFmtId="0" fontId="24" fillId="0" borderId="0" xfId="0" applyFont="1" applyFill="1"/>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horizontal="center"/>
    </xf>
    <xf numFmtId="0" fontId="24" fillId="0" borderId="0" xfId="0" applyFont="1" applyAlignment="1">
      <alignment horizontal="right" vertical="center"/>
    </xf>
    <xf numFmtId="0" fontId="24" fillId="0" borderId="0" xfId="0" applyFont="1" applyAlignment="1">
      <alignment horizontal="left" vertical="center"/>
    </xf>
    <xf numFmtId="0" fontId="24" fillId="0" borderId="0" xfId="0" applyFont="1" applyFill="1" applyAlignment="1">
      <alignment horizontal="left" vertical="center"/>
    </xf>
    <xf numFmtId="0" fontId="24" fillId="0" borderId="0" xfId="44" applyFont="1"/>
    <xf numFmtId="0" fontId="24" fillId="0" borderId="0" xfId="44" applyFont="1" applyFill="1"/>
    <xf numFmtId="165" fontId="7" fillId="4" borderId="1" xfId="0" applyNumberFormat="1" applyFont="1" applyFill="1" applyBorder="1" applyAlignment="1">
      <alignment horizontal="left" vertical="top" wrapText="1"/>
    </xf>
    <xf numFmtId="0" fontId="7" fillId="4" borderId="0" xfId="0" applyFont="1" applyFill="1" applyAlignment="1">
      <alignment horizontal="left" vertical="top" wrapText="1"/>
    </xf>
    <xf numFmtId="0" fontId="4" fillId="0" borderId="1" xfId="10" applyFont="1" applyBorder="1" applyAlignment="1" applyProtection="1">
      <alignment vertical="top" wrapText="1"/>
    </xf>
    <xf numFmtId="0" fontId="24" fillId="0" borderId="1" xfId="1" applyFont="1" applyFill="1" applyBorder="1" applyAlignment="1">
      <alignment horizontal="left" vertical="top" wrapText="1" indent="2"/>
    </xf>
    <xf numFmtId="0" fontId="24" fillId="0" borderId="1" xfId="1" applyFont="1" applyFill="1" applyBorder="1" applyAlignment="1">
      <alignment horizontal="left" vertical="top" wrapText="1"/>
    </xf>
    <xf numFmtId="4" fontId="24" fillId="0" borderId="1" xfId="1" applyNumberFormat="1" applyFont="1" applyFill="1" applyBorder="1" applyAlignment="1">
      <alignment horizontal="left" vertical="top" wrapText="1"/>
    </xf>
    <xf numFmtId="0" fontId="4" fillId="0" borderId="1" xfId="10" applyBorder="1" applyAlignment="1" applyProtection="1">
      <alignment horizontal="left" vertical="top" wrapText="1"/>
    </xf>
    <xf numFmtId="0" fontId="4" fillId="4" borderId="1" xfId="10" applyFill="1" applyBorder="1" applyAlignment="1" applyProtection="1">
      <alignment horizontal="left" vertical="top" wrapText="1"/>
    </xf>
    <xf numFmtId="0" fontId="7" fillId="4" borderId="1" xfId="0" applyNumberFormat="1" applyFont="1" applyFill="1" applyBorder="1" applyAlignment="1">
      <alignment horizontal="left" vertical="top" wrapText="1"/>
    </xf>
    <xf numFmtId="0" fontId="23" fillId="2" borderId="0" xfId="10" applyFont="1" applyFill="1" applyBorder="1" applyAlignment="1" applyProtection="1">
      <alignment horizontal="left"/>
    </xf>
    <xf numFmtId="0" fontId="25" fillId="2" borderId="0" xfId="0" applyFont="1" applyFill="1" applyBorder="1" applyAlignment="1">
      <alignment horizontal="left" vertical="center" wrapText="1"/>
    </xf>
    <xf numFmtId="0" fontId="9" fillId="0" borderId="12" xfId="0" applyFont="1" applyFill="1" applyBorder="1" applyAlignment="1">
      <alignment horizontal="left" vertical="top" wrapText="1"/>
    </xf>
    <xf numFmtId="0" fontId="7" fillId="0" borderId="12" xfId="0" applyFont="1" applyFill="1" applyBorder="1" applyAlignment="1">
      <alignment horizontal="left" vertical="top" wrapText="1"/>
    </xf>
    <xf numFmtId="165" fontId="7" fillId="0" borderId="12" xfId="0" applyNumberFormat="1" applyFont="1" applyFill="1" applyBorder="1" applyAlignment="1">
      <alignment horizontal="left" vertical="top" wrapText="1"/>
    </xf>
    <xf numFmtId="0" fontId="7" fillId="0" borderId="12" xfId="0" applyFont="1" applyBorder="1" applyAlignment="1">
      <alignment horizontal="center" vertical="top" wrapText="1"/>
    </xf>
    <xf numFmtId="165" fontId="7" fillId="0" borderId="12" xfId="0" applyNumberFormat="1" applyFont="1" applyBorder="1" applyAlignment="1" applyProtection="1">
      <alignment horizontal="left" vertical="top" wrapText="1"/>
      <protection hidden="1"/>
    </xf>
    <xf numFmtId="0" fontId="4" fillId="0" borderId="12" xfId="10" applyFont="1" applyBorder="1" applyAlignment="1" applyProtection="1">
      <alignment horizontal="left" vertical="top" wrapText="1"/>
    </xf>
    <xf numFmtId="0" fontId="7" fillId="0" borderId="12" xfId="0" applyFont="1" applyBorder="1" applyAlignment="1">
      <alignment horizontal="center" wrapText="1"/>
    </xf>
    <xf numFmtId="0" fontId="8" fillId="3" borderId="13" xfId="0" applyFont="1" applyFill="1" applyBorder="1" applyAlignment="1">
      <alignment horizontal="center" vertical="center" wrapText="1"/>
    </xf>
    <xf numFmtId="0" fontId="26" fillId="3" borderId="13" xfId="0" applyFont="1" applyFill="1" applyBorder="1" applyAlignment="1">
      <alignment horizontal="center" vertical="center" wrapText="1"/>
    </xf>
    <xf numFmtId="0" fontId="26" fillId="3" borderId="14" xfId="0" applyFont="1" applyFill="1" applyBorder="1" applyAlignment="1">
      <alignment horizontal="center" vertical="center" wrapText="1"/>
    </xf>
    <xf numFmtId="0" fontId="2" fillId="0" borderId="1" xfId="0" applyFont="1" applyBorder="1" applyAlignment="1">
      <alignment horizontal="left" vertical="top" wrapText="1"/>
    </xf>
    <xf numFmtId="0" fontId="7" fillId="0" borderId="1" xfId="0" applyFont="1" applyBorder="1" applyAlignment="1">
      <alignment wrapText="1"/>
    </xf>
    <xf numFmtId="164" fontId="7" fillId="0" borderId="1" xfId="0" applyNumberFormat="1" applyFont="1" applyFill="1" applyBorder="1" applyAlignment="1">
      <alignment horizontal="left" vertical="top" wrapText="1"/>
    </xf>
    <xf numFmtId="0" fontId="2" fillId="0" borderId="0" xfId="0" applyNumberFormat="1" applyFont="1" applyFill="1" applyBorder="1" applyAlignment="1">
      <alignment horizontal="left" vertical="center" wrapText="1"/>
    </xf>
    <xf numFmtId="0" fontId="0" fillId="2" borderId="0" xfId="0" applyFill="1" applyBorder="1" applyAlignment="1">
      <alignment wrapText="1"/>
    </xf>
    <xf numFmtId="0" fontId="11" fillId="2" borderId="0" xfId="0" applyFont="1" applyFill="1" applyBorder="1" applyAlignment="1">
      <alignment horizontal="left" wrapText="1" indent="1"/>
    </xf>
    <xf numFmtId="0" fontId="8" fillId="3" borderId="15" xfId="28" applyFont="1" applyFill="1" applyBorder="1" applyAlignment="1">
      <alignment horizontal="center" vertical="center"/>
    </xf>
    <xf numFmtId="0" fontId="8" fillId="3" borderId="15" xfId="28" applyFont="1" applyFill="1" applyBorder="1" applyAlignment="1">
      <alignment horizontal="center" vertical="center" wrapText="1"/>
    </xf>
    <xf numFmtId="0" fontId="8" fillId="3" borderId="16" xfId="28" applyFont="1" applyFill="1" applyBorder="1" applyAlignment="1">
      <alignment horizontal="center" vertical="center" wrapText="1"/>
    </xf>
    <xf numFmtId="0" fontId="8" fillId="3" borderId="17" xfId="28" applyFont="1" applyFill="1" applyBorder="1" applyAlignment="1">
      <alignment horizontal="left" vertical="center" wrapText="1"/>
    </xf>
    <xf numFmtId="0" fontId="28" fillId="0" borderId="1" xfId="0" applyFont="1" applyFill="1" applyBorder="1" applyAlignment="1">
      <alignment horizontal="left" vertical="top" wrapText="1"/>
    </xf>
    <xf numFmtId="0" fontId="29" fillId="2" borderId="4" xfId="0" applyFont="1" applyFill="1" applyBorder="1"/>
    <xf numFmtId="0" fontId="29" fillId="2" borderId="3" xfId="0" applyFont="1" applyFill="1" applyBorder="1"/>
    <xf numFmtId="0" fontId="29" fillId="0" borderId="0" xfId="0" applyFont="1"/>
    <xf numFmtId="0" fontId="28" fillId="0" borderId="1" xfId="0" applyFont="1" applyBorder="1" applyAlignment="1">
      <alignment horizontal="left" vertical="top" wrapText="1"/>
    </xf>
    <xf numFmtId="0" fontId="9" fillId="6" borderId="1" xfId="51" applyFont="1" applyFill="1" applyBorder="1" applyAlignment="1">
      <alignment horizontal="center" vertical="center" wrapText="1"/>
    </xf>
    <xf numFmtId="169" fontId="9" fillId="6" borderId="1" xfId="51" applyNumberFormat="1" applyFont="1" applyFill="1" applyBorder="1" applyAlignment="1">
      <alignment horizontal="right"/>
    </xf>
    <xf numFmtId="0" fontId="7" fillId="0" borderId="1" xfId="0" applyFont="1" applyBorder="1" applyAlignment="1">
      <alignment vertical="top" wrapText="1"/>
    </xf>
    <xf numFmtId="0" fontId="30" fillId="0" borderId="1" xfId="0" applyFont="1" applyBorder="1" applyAlignment="1">
      <alignment vertical="top"/>
    </xf>
    <xf numFmtId="165" fontId="7" fillId="0" borderId="1" xfId="0" applyNumberFormat="1" applyFont="1" applyFill="1" applyBorder="1" applyAlignment="1">
      <alignment horizontal="center" vertical="top" wrapText="1"/>
    </xf>
    <xf numFmtId="0" fontId="7" fillId="0" borderId="1" xfId="0" applyFont="1" applyBorder="1" applyAlignment="1">
      <alignment vertical="top"/>
    </xf>
    <xf numFmtId="0" fontId="2" fillId="0" borderId="1" xfId="28" applyFont="1" applyBorder="1" applyAlignment="1">
      <alignment horizontal="left" vertical="top" wrapText="1"/>
    </xf>
    <xf numFmtId="0" fontId="2" fillId="0" borderId="1" xfId="28" applyFont="1" applyBorder="1" applyAlignment="1">
      <alignment horizontal="center" vertical="center" wrapText="1"/>
    </xf>
    <xf numFmtId="0" fontId="2" fillId="4" borderId="1" xfId="28" applyFont="1" applyFill="1" applyBorder="1" applyAlignment="1">
      <alignment horizontal="left" vertical="center" wrapText="1"/>
    </xf>
    <xf numFmtId="0" fontId="2" fillId="0" borderId="1" xfId="28" applyFont="1" applyBorder="1" applyAlignment="1">
      <alignment horizontal="left" vertical="center" wrapText="1"/>
    </xf>
    <xf numFmtId="0" fontId="2" fillId="0" borderId="1" xfId="28" applyFont="1" applyFill="1" applyBorder="1" applyAlignment="1">
      <alignment horizontal="left" vertical="center" wrapText="1"/>
    </xf>
    <xf numFmtId="0" fontId="2" fillId="0" borderId="0" xfId="28" applyFont="1" applyAlignment="1">
      <alignment vertical="top"/>
    </xf>
    <xf numFmtId="0" fontId="20" fillId="0" borderId="0" xfId="28" applyFont="1" applyAlignment="1">
      <alignment vertical="top"/>
    </xf>
    <xf numFmtId="0" fontId="20" fillId="0" borderId="0" xfId="28" applyFont="1" applyAlignment="1">
      <alignment vertical="center"/>
    </xf>
    <xf numFmtId="0" fontId="2" fillId="0" borderId="0" xfId="28" applyFont="1" applyAlignment="1">
      <alignment vertical="center"/>
    </xf>
    <xf numFmtId="0" fontId="7" fillId="0" borderId="1" xfId="0" applyFont="1" applyBorder="1" applyAlignment="1">
      <alignment horizontal="left" vertical="top" wrapText="1"/>
    </xf>
    <xf numFmtId="0" fontId="20" fillId="4" borderId="1" xfId="28" applyFont="1" applyFill="1" applyBorder="1" applyAlignment="1">
      <alignment horizontal="left" vertical="center" wrapText="1"/>
    </xf>
    <xf numFmtId="0" fontId="20" fillId="4" borderId="1" xfId="28" applyFont="1" applyFill="1" applyBorder="1" applyAlignment="1">
      <alignment horizontal="center" vertical="center" wrapText="1"/>
    </xf>
    <xf numFmtId="0" fontId="20" fillId="0" borderId="1" xfId="28" applyFont="1" applyBorder="1" applyAlignment="1">
      <alignment horizontal="left" vertical="top" wrapText="1"/>
    </xf>
    <xf numFmtId="0" fontId="20" fillId="0" borderId="1" xfId="28" applyFont="1" applyBorder="1" applyAlignment="1">
      <alignment horizontal="left" vertical="center" wrapText="1"/>
    </xf>
    <xf numFmtId="0" fontId="20" fillId="0" borderId="1" xfId="28" applyFont="1" applyBorder="1" applyAlignment="1">
      <alignment horizontal="center" vertical="center" wrapText="1"/>
    </xf>
    <xf numFmtId="0" fontId="24" fillId="0" borderId="1" xfId="0" applyFont="1" applyBorder="1" applyAlignment="1">
      <alignment horizontal="left" vertical="top" wrapText="1"/>
    </xf>
    <xf numFmtId="0" fontId="2" fillId="4" borderId="1" xfId="28" applyFont="1" applyFill="1" applyBorder="1" applyAlignment="1">
      <alignment horizontal="center" vertical="center" wrapText="1"/>
    </xf>
    <xf numFmtId="0" fontId="2" fillId="0" borderId="0" xfId="28" applyFont="1" applyBorder="1" applyAlignment="1">
      <alignment vertical="center" wrapText="1"/>
    </xf>
    <xf numFmtId="0" fontId="20" fillId="0" borderId="1" xfId="28" applyNumberFormat="1" applyFont="1" applyBorder="1" applyAlignment="1">
      <alignment horizontal="left" vertical="center" wrapText="1"/>
    </xf>
    <xf numFmtId="0" fontId="20" fillId="0" borderId="1" xfId="28" applyFont="1" applyFill="1" applyBorder="1" applyAlignment="1">
      <alignment horizontal="left" vertical="center" wrapText="1"/>
    </xf>
    <xf numFmtId="0" fontId="20" fillId="0" borderId="1" xfId="28" applyFont="1" applyFill="1" applyBorder="1" applyAlignment="1">
      <alignment horizontal="center" vertical="center" wrapText="1"/>
    </xf>
    <xf numFmtId="0" fontId="20" fillId="0" borderId="0" xfId="28" applyFont="1" applyAlignment="1">
      <alignment vertical="top" wrapText="1"/>
    </xf>
    <xf numFmtId="0" fontId="20" fillId="0" borderId="0" xfId="28" applyFont="1" applyAlignment="1">
      <alignment horizontal="left" vertical="top" wrapText="1"/>
    </xf>
    <xf numFmtId="0" fontId="20" fillId="0" borderId="0" xfId="28" applyFont="1" applyAlignment="1">
      <alignment horizontal="left" vertical="top"/>
    </xf>
    <xf numFmtId="0" fontId="2" fillId="0" borderId="1" xfId="28" applyFont="1" applyFill="1" applyBorder="1" applyAlignment="1">
      <alignment horizontal="center" vertical="center" wrapText="1"/>
    </xf>
    <xf numFmtId="0" fontId="2" fillId="0" borderId="0" xfId="28" applyFont="1" applyBorder="1" applyAlignment="1">
      <alignment vertical="top"/>
    </xf>
    <xf numFmtId="0" fontId="20" fillId="0" borderId="0" xfId="28" applyFont="1" applyBorder="1" applyAlignment="1">
      <alignment vertical="center"/>
    </xf>
    <xf numFmtId="0" fontId="20" fillId="0" borderId="0" xfId="28" applyFont="1" applyBorder="1" applyAlignment="1">
      <alignment vertical="center" wrapText="1"/>
    </xf>
    <xf numFmtId="0" fontId="2" fillId="0" borderId="0" xfId="28" applyFont="1" applyBorder="1" applyAlignment="1">
      <alignment vertical="center"/>
    </xf>
    <xf numFmtId="0" fontId="20" fillId="0" borderId="0" xfId="28" applyFont="1" applyBorder="1" applyAlignment="1">
      <alignment vertical="top"/>
    </xf>
    <xf numFmtId="0" fontId="0" fillId="2" borderId="0" xfId="0" applyFill="1" applyBorder="1" applyAlignment="1">
      <alignment wrapText="1"/>
    </xf>
    <xf numFmtId="0" fontId="0" fillId="0" borderId="0" xfId="0" applyAlignment="1">
      <alignment wrapText="1"/>
    </xf>
    <xf numFmtId="0" fontId="0" fillId="0" borderId="19" xfId="0" applyBorder="1" applyAlignment="1">
      <alignment wrapText="1"/>
    </xf>
    <xf numFmtId="0" fontId="0" fillId="0" borderId="20" xfId="0" applyBorder="1" applyAlignment="1"/>
    <xf numFmtId="0" fontId="0" fillId="0" borderId="12" xfId="0" applyBorder="1" applyAlignment="1"/>
    <xf numFmtId="0" fontId="10" fillId="2" borderId="22" xfId="0" applyFont="1" applyFill="1" applyBorder="1" applyAlignment="1">
      <alignment horizontal="center"/>
    </xf>
    <xf numFmtId="0" fontId="0" fillId="0" borderId="22" xfId="0" applyBorder="1" applyAlignment="1">
      <alignment horizontal="center"/>
    </xf>
    <xf numFmtId="0" fontId="25" fillId="2" borderId="0" xfId="0" applyFont="1" applyFill="1" applyBorder="1" applyAlignment="1">
      <alignment horizontal="left" vertical="center" wrapText="1"/>
    </xf>
    <xf numFmtId="0" fontId="0" fillId="0" borderId="0" xfId="0" applyAlignment="1">
      <alignment horizontal="left" vertical="center" wrapText="1"/>
    </xf>
    <xf numFmtId="0" fontId="0" fillId="2" borderId="0" xfId="0" applyFill="1" applyBorder="1" applyAlignment="1"/>
    <xf numFmtId="0" fontId="0" fillId="0" borderId="0" xfId="0" applyAlignment="1"/>
    <xf numFmtId="0" fontId="13" fillId="2" borderId="0" xfId="10" applyFont="1" applyFill="1" applyBorder="1" applyAlignment="1" applyProtection="1">
      <alignment horizontal="left" wrapText="1"/>
    </xf>
    <xf numFmtId="0" fontId="11" fillId="2" borderId="0" xfId="0" applyFont="1" applyFill="1" applyBorder="1" applyAlignment="1">
      <alignment horizontal="left" wrapText="1"/>
    </xf>
    <xf numFmtId="0" fontId="11" fillId="2" borderId="0" xfId="0" applyFont="1" applyFill="1" applyBorder="1" applyAlignment="1">
      <alignment horizontal="left" wrapText="1" indent="1"/>
    </xf>
    <xf numFmtId="0" fontId="0" fillId="2" borderId="0" xfId="0" applyFill="1" applyBorder="1" applyAlignment="1">
      <alignment horizontal="left" indent="1"/>
    </xf>
    <xf numFmtId="0" fontId="11" fillId="2" borderId="0" xfId="0" applyFont="1" applyFill="1" applyBorder="1" applyAlignment="1">
      <alignment horizontal="left" vertical="center" wrapText="1"/>
    </xf>
    <xf numFmtId="0" fontId="11" fillId="2" borderId="0" xfId="0" applyFont="1" applyFill="1" applyBorder="1" applyAlignment="1">
      <alignment horizontal="left" vertical="center" wrapText="1" indent="3"/>
    </xf>
    <xf numFmtId="0" fontId="8" fillId="3" borderId="23" xfId="0" applyFont="1" applyFill="1" applyBorder="1" applyAlignment="1">
      <alignment horizontal="center" vertical="center" wrapText="1"/>
    </xf>
    <xf numFmtId="0" fontId="24" fillId="6" borderId="19" xfId="0" applyFont="1" applyFill="1" applyBorder="1" applyAlignment="1">
      <alignment horizontal="left" vertical="top" wrapText="1"/>
    </xf>
    <xf numFmtId="0" fontId="24" fillId="6" borderId="20" xfId="0" applyFont="1" applyFill="1" applyBorder="1" applyAlignment="1">
      <alignment horizontal="left" vertical="top" wrapText="1"/>
    </xf>
    <xf numFmtId="0" fontId="24" fillId="6" borderId="12" xfId="0" applyFont="1" applyFill="1" applyBorder="1" applyAlignment="1">
      <alignment horizontal="left" vertical="top" wrapText="1"/>
    </xf>
    <xf numFmtId="0" fontId="8" fillId="3" borderId="21"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26" fillId="3" borderId="24" xfId="0" applyFont="1" applyFill="1" applyBorder="1" applyAlignment="1">
      <alignment horizontal="center" vertical="center" wrapText="1"/>
    </xf>
    <xf numFmtId="0" fontId="24" fillId="3" borderId="13" xfId="0" applyFont="1" applyFill="1" applyBorder="1" applyAlignment="1">
      <alignment vertical="center" wrapText="1"/>
    </xf>
    <xf numFmtId="0" fontId="7" fillId="3" borderId="13" xfId="0" applyFont="1" applyFill="1" applyBorder="1" applyAlignment="1">
      <alignment horizontal="center" vertical="center" wrapText="1"/>
    </xf>
    <xf numFmtId="0" fontId="24" fillId="3" borderId="18" xfId="0" applyFont="1" applyFill="1" applyBorder="1" applyAlignment="1">
      <alignment vertical="center" wrapText="1"/>
    </xf>
    <xf numFmtId="0" fontId="8" fillId="3" borderId="11" xfId="51" applyFont="1" applyFill="1" applyBorder="1" applyAlignment="1">
      <alignment horizontal="center" vertical="center" wrapText="1"/>
    </xf>
    <xf numFmtId="0" fontId="8" fillId="3" borderId="28" xfId="0" applyFont="1" applyFill="1" applyBorder="1" applyAlignment="1"/>
    <xf numFmtId="0" fontId="8" fillId="3" borderId="1" xfId="0" applyFont="1" applyFill="1" applyBorder="1" applyAlignment="1">
      <alignment horizontal="center" vertical="center"/>
    </xf>
    <xf numFmtId="0" fontId="10" fillId="2" borderId="2" xfId="0" applyFont="1" applyFill="1" applyBorder="1" applyAlignment="1">
      <alignment horizontal="center" vertical="center"/>
    </xf>
    <xf numFmtId="0" fontId="0" fillId="2" borderId="22" xfId="0" applyFill="1" applyBorder="1" applyAlignment="1">
      <alignment horizontal="center"/>
    </xf>
    <xf numFmtId="0" fontId="0" fillId="2" borderId="22" xfId="0" applyFill="1" applyBorder="1" applyAlignment="1"/>
    <xf numFmtId="0" fontId="0" fillId="2" borderId="10" xfId="0" applyFill="1" applyBorder="1" applyAlignment="1"/>
    <xf numFmtId="0" fontId="11" fillId="2" borderId="5" xfId="0" applyFont="1" applyFill="1" applyBorder="1" applyAlignment="1">
      <alignment horizontal="left" vertical="top" wrapText="1" indent="1"/>
    </xf>
    <xf numFmtId="0" fontId="0" fillId="2" borderId="7" xfId="0" applyFill="1" applyBorder="1" applyAlignment="1">
      <alignment horizontal="left" indent="1"/>
    </xf>
    <xf numFmtId="0" fontId="0" fillId="2" borderId="6" xfId="0" applyFill="1" applyBorder="1" applyAlignment="1">
      <alignment horizontal="left" indent="1"/>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5" xfId="51" applyFont="1" applyFill="1" applyBorder="1" applyAlignment="1">
      <alignment horizontal="center" vertical="center"/>
    </xf>
    <xf numFmtId="0" fontId="8" fillId="3" borderId="27" xfId="0" applyFont="1" applyFill="1" applyBorder="1" applyAlignment="1">
      <alignment horizontal="center" vertical="center"/>
    </xf>
    <xf numFmtId="0" fontId="7" fillId="0" borderId="0" xfId="51" applyFont="1" applyAlignment="1">
      <alignment horizontal="left" wrapText="1"/>
    </xf>
    <xf numFmtId="0" fontId="7" fillId="0" borderId="0" xfId="51" applyFont="1" applyAlignment="1">
      <alignment horizontal="center" wrapText="1"/>
    </xf>
    <xf numFmtId="0" fontId="14" fillId="7" borderId="1" xfId="28" applyFont="1" applyFill="1" applyBorder="1" applyAlignment="1">
      <alignment horizontal="left" vertical="center"/>
    </xf>
    <xf numFmtId="0" fontId="24" fillId="0" borderId="1" xfId="0" applyFont="1" applyBorder="1" applyAlignment="1">
      <alignment horizontal="left"/>
    </xf>
    <xf numFmtId="0" fontId="20" fillId="0" borderId="19" xfId="28" applyFont="1" applyBorder="1" applyAlignment="1">
      <alignment horizontal="left" vertical="top" wrapText="1"/>
    </xf>
    <xf numFmtId="0" fontId="0" fillId="0" borderId="20" xfId="0" applyBorder="1" applyAlignment="1">
      <alignment horizontal="left" vertical="top"/>
    </xf>
    <xf numFmtId="0" fontId="0" fillId="0" borderId="12" xfId="0" applyBorder="1" applyAlignment="1">
      <alignment horizontal="left" vertical="top"/>
    </xf>
    <xf numFmtId="0" fontId="2" fillId="0" borderId="1" xfId="28" applyFont="1" applyFill="1" applyBorder="1" applyAlignment="1">
      <alignment horizontal="left" vertical="top" wrapText="1"/>
    </xf>
    <xf numFmtId="0" fontId="0" fillId="0" borderId="1" xfId="0" applyBorder="1" applyAlignment="1">
      <alignment horizontal="left" vertical="top" wrapText="1"/>
    </xf>
    <xf numFmtId="0" fontId="2" fillId="0" borderId="1" xfId="28" applyFont="1" applyBorder="1" applyAlignment="1">
      <alignment horizontal="left" vertical="top" wrapText="1"/>
    </xf>
    <xf numFmtId="0" fontId="7" fillId="0" borderId="1" xfId="0" applyFont="1" applyBorder="1" applyAlignment="1">
      <alignment horizontal="left" vertical="top" wrapText="1"/>
    </xf>
    <xf numFmtId="0" fontId="2" fillId="0" borderId="19" xfId="28" applyFont="1" applyBorder="1" applyAlignment="1">
      <alignment horizontal="left" vertical="top" wrapText="1"/>
    </xf>
    <xf numFmtId="0" fontId="2" fillId="0" borderId="20" xfId="28" applyFont="1" applyBorder="1" applyAlignment="1">
      <alignment horizontal="left" vertical="top" wrapText="1"/>
    </xf>
    <xf numFmtId="0" fontId="20" fillId="0" borderId="20" xfId="28" applyFont="1" applyBorder="1" applyAlignment="1">
      <alignment horizontal="left" vertical="top" wrapText="1"/>
    </xf>
    <xf numFmtId="0" fontId="2" fillId="0" borderId="12" xfId="28" applyFont="1" applyBorder="1" applyAlignment="1">
      <alignment horizontal="left" vertical="top" wrapText="1"/>
    </xf>
    <xf numFmtId="0" fontId="20" fillId="0" borderId="1" xfId="28" applyFont="1" applyBorder="1" applyAlignment="1">
      <alignment horizontal="left" vertical="top" wrapText="1"/>
    </xf>
    <xf numFmtId="0" fontId="2" fillId="0" borderId="1" xfId="28" quotePrefix="1" applyFont="1" applyFill="1" applyBorder="1" applyAlignment="1">
      <alignment horizontal="left" vertical="top" wrapText="1"/>
    </xf>
    <xf numFmtId="0" fontId="2" fillId="8" borderId="1" xfId="28"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cellXfs>
  <cellStyles count="56">
    <cellStyle name="ColLevel_1" xfId="1" builtinId="2" iLevel="0"/>
    <cellStyle name="Comma [0] 2" xfId="2"/>
    <cellStyle name="Comma 2" xfId="3"/>
    <cellStyle name="Comma 3" xfId="4"/>
    <cellStyle name="Currency" xfId="5" builtinId="4"/>
    <cellStyle name="Currency 2" xfId="6"/>
    <cellStyle name="Currency 3" xfId="7"/>
    <cellStyle name="Currency 4" xfId="8"/>
    <cellStyle name="external input" xfId="9"/>
    <cellStyle name="Hyperlink" xfId="10" builtinId="8"/>
    <cellStyle name="Hyperlink 2" xfId="11"/>
    <cellStyle name="Hyperlink 3" xfId="12"/>
    <cellStyle name="Normal" xfId="0" builtinId="0"/>
    <cellStyle name="Normal 10" xfId="13"/>
    <cellStyle name="Normal 11" xfId="14"/>
    <cellStyle name="Normal 11 2" xfId="15"/>
    <cellStyle name="Normal 11 3" xfId="16"/>
    <cellStyle name="Normal 11 4" xfId="17"/>
    <cellStyle name="Normal 11 5" xfId="18"/>
    <cellStyle name="Normal 11 6" xfId="19"/>
    <cellStyle name="Normal 11 7" xfId="20"/>
    <cellStyle name="Normal 12" xfId="21"/>
    <cellStyle name="Normal 13" xfId="22"/>
    <cellStyle name="Normal 14" xfId="23"/>
    <cellStyle name="Normal 15" xfId="24"/>
    <cellStyle name="Normal 16" xfId="25"/>
    <cellStyle name="Normal 17" xfId="26"/>
    <cellStyle name="Normal 18" xfId="27"/>
    <cellStyle name="Normal 2" xfId="28"/>
    <cellStyle name="Normal 2 2" xfId="29"/>
    <cellStyle name="Normal 2_Lookups" xfId="30"/>
    <cellStyle name="Normal 3" xfId="31"/>
    <cellStyle name="Normal 3 10" xfId="32"/>
    <cellStyle name="Normal 3 2" xfId="33"/>
    <cellStyle name="Normal 3 3" xfId="34"/>
    <cellStyle name="Normal 3 4" xfId="35"/>
    <cellStyle name="Normal 3 5" xfId="36"/>
    <cellStyle name="Normal 3 6" xfId="37"/>
    <cellStyle name="Normal 3 7" xfId="38"/>
    <cellStyle name="Normal 3 8" xfId="39"/>
    <cellStyle name="Normal 3 9" xfId="40"/>
    <cellStyle name="Normal 4" xfId="41"/>
    <cellStyle name="Normal 4 2" xfId="42"/>
    <cellStyle name="Normal 4_Lookups" xfId="43"/>
    <cellStyle name="Normal 5" xfId="44"/>
    <cellStyle name="Normal 5 2" xfId="45"/>
    <cellStyle name="Normal 5_Lookups" xfId="46"/>
    <cellStyle name="Normal 6" xfId="47"/>
    <cellStyle name="Normal 7" xfId="48"/>
    <cellStyle name="Normal 8" xfId="49"/>
    <cellStyle name="Normal 9" xfId="50"/>
    <cellStyle name="Normal_x Master Costs Database (2)" xfId="51"/>
    <cellStyle name="Percent" xfId="52" builtinId="5"/>
    <cellStyle name="Style 1" xfId="53"/>
    <cellStyle name="u" xfId="54"/>
    <cellStyle name="Undefined" xfId="55"/>
  </cellStyles>
  <dxfs count="104">
    <dxf>
      <fill>
        <patternFill>
          <bgColor indexed="11"/>
        </patternFill>
      </fill>
    </dxf>
    <dxf>
      <fill>
        <patternFill>
          <bgColor indexed="52"/>
        </patternFill>
      </fill>
    </dxf>
    <dxf>
      <font>
        <condense val="0"/>
        <extend val="0"/>
        <color auto="1"/>
      </font>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rgb="FFFF0000"/>
        </patternFill>
      </fill>
    </dxf>
    <dxf>
      <fill>
        <patternFill>
          <bgColor rgb="FFFF9900"/>
        </patternFill>
      </fill>
    </dxf>
    <dxf>
      <fill>
        <patternFill>
          <bgColor rgb="FF00FF00"/>
        </patternFill>
      </fill>
    </dxf>
    <dxf>
      <fill>
        <patternFill>
          <bgColor rgb="FFFF0000"/>
        </patternFill>
      </fill>
    </dxf>
    <dxf>
      <fill>
        <patternFill>
          <bgColor rgb="FFFF9900"/>
        </patternFill>
      </fill>
    </dxf>
    <dxf>
      <fill>
        <patternFill>
          <bgColor rgb="FF00FF00"/>
        </patternFill>
      </fill>
    </dxf>
    <dxf>
      <fill>
        <patternFill>
          <bgColor rgb="FF00FF00"/>
        </patternFill>
      </fill>
    </dxf>
    <dxf>
      <fill>
        <patternFill>
          <bgColor rgb="FFFF9900"/>
        </patternFill>
      </fill>
    </dxf>
    <dxf>
      <font>
        <condense val="0"/>
        <extend val="0"/>
        <color auto="1"/>
      </font>
      <fill>
        <patternFill>
          <bgColor rgb="FFFF0000"/>
        </patternFill>
      </fill>
    </dxf>
    <dxf>
      <fill>
        <patternFill patternType="none">
          <bgColor indexed="65"/>
        </patternFill>
      </fill>
    </dxf>
    <dxf>
      <fill>
        <patternFill>
          <bgColor rgb="FFFF0000"/>
        </patternFill>
      </fill>
    </dxf>
    <dxf>
      <fill>
        <patternFill>
          <bgColor rgb="FFFF9900"/>
        </patternFill>
      </fill>
    </dxf>
    <dxf>
      <fill>
        <patternFill>
          <bgColor rgb="FF00FF00"/>
        </patternFill>
      </fill>
    </dxf>
    <dxf>
      <fill>
        <patternFill>
          <bgColor rgb="FF00FF00"/>
        </patternFill>
      </fill>
    </dxf>
    <dxf>
      <fill>
        <patternFill>
          <bgColor rgb="FFFF9900"/>
        </patternFill>
      </fill>
    </dxf>
    <dxf>
      <fill>
        <patternFill>
          <bgColor rgb="FFFF0000"/>
        </patternFill>
      </fill>
    </dxf>
    <dxf>
      <fill>
        <patternFill>
          <bgColor rgb="FF00FF00"/>
        </patternFill>
      </fill>
    </dxf>
    <dxf>
      <fill>
        <patternFill>
          <bgColor rgb="FFFF9900"/>
        </patternFill>
      </fill>
    </dxf>
    <dxf>
      <font>
        <condense val="0"/>
        <extend val="0"/>
        <color auto="1"/>
      </font>
      <fill>
        <patternFill>
          <bgColor rgb="FFFF0000"/>
        </patternFill>
      </fill>
    </dxf>
    <dxf>
      <fill>
        <patternFill patternType="none">
          <bgColor indexed="65"/>
        </patternFill>
      </fill>
    </dxf>
    <dxf>
      <fill>
        <patternFill>
          <bgColor rgb="FF00FF00"/>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00FF00"/>
        </patternFill>
      </fill>
    </dxf>
    <dxf>
      <fill>
        <patternFill>
          <bgColor rgb="FFFF0000"/>
        </patternFill>
      </fill>
    </dxf>
    <dxf>
      <fill>
        <patternFill>
          <bgColor rgb="FFFF9900"/>
        </patternFill>
      </fill>
    </dxf>
    <dxf>
      <fill>
        <patternFill>
          <bgColor rgb="FF00FF00"/>
        </patternFill>
      </fill>
    </dxf>
    <dxf>
      <fill>
        <patternFill patternType="none">
          <bgColor indexed="65"/>
        </patternFill>
      </fill>
    </dxf>
    <dxf>
      <fill>
        <patternFill>
          <bgColor rgb="FFFF0000"/>
        </patternFill>
      </fill>
    </dxf>
    <dxf>
      <fill>
        <patternFill>
          <bgColor rgb="FFFF9900"/>
        </patternFill>
      </fill>
    </dxf>
    <dxf>
      <fill>
        <patternFill>
          <bgColor rgb="FF00FF00"/>
        </patternFill>
      </fill>
    </dxf>
    <dxf>
      <fill>
        <patternFill>
          <bgColor rgb="FFFF0000"/>
        </patternFill>
      </fill>
    </dxf>
    <dxf>
      <fill>
        <patternFill>
          <bgColor rgb="FFFF9900"/>
        </patternFill>
      </fill>
    </dxf>
    <dxf>
      <fill>
        <patternFill>
          <bgColor rgb="FF00FF00"/>
        </patternFill>
      </fill>
    </dxf>
    <dxf>
      <fill>
        <patternFill>
          <bgColor rgb="FFFF0000"/>
        </patternFill>
      </fill>
    </dxf>
    <dxf>
      <fill>
        <patternFill>
          <bgColor rgb="FFFF9900"/>
        </patternFill>
      </fill>
    </dxf>
    <dxf>
      <fill>
        <patternFill>
          <bgColor rgb="FF00FF00"/>
        </patternFill>
      </fill>
    </dxf>
    <dxf>
      <fill>
        <patternFill>
          <bgColor rgb="FFFF0000"/>
        </patternFill>
      </fill>
    </dxf>
    <dxf>
      <fill>
        <patternFill>
          <bgColor rgb="FFFF9900"/>
        </patternFill>
      </fill>
    </dxf>
    <dxf>
      <fill>
        <patternFill>
          <bgColor rgb="FF00FF00"/>
        </patternFill>
      </fill>
    </dxf>
    <dxf>
      <fill>
        <patternFill patternType="none">
          <bgColor indexed="65"/>
        </patternFill>
      </fill>
    </dxf>
    <dxf>
      <fill>
        <patternFill>
          <bgColor rgb="FFFF0000"/>
        </patternFill>
      </fill>
    </dxf>
    <dxf>
      <fill>
        <patternFill>
          <bgColor rgb="FFFF9900"/>
        </patternFill>
      </fill>
    </dxf>
    <dxf>
      <fill>
        <patternFill>
          <bgColor rgb="FF00FF00"/>
        </patternFill>
      </fill>
    </dxf>
    <dxf>
      <fill>
        <patternFill>
          <bgColor rgb="FF00FF00"/>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00FF00"/>
        </patternFill>
      </fill>
    </dxf>
    <dxf>
      <fill>
        <patternFill>
          <bgColor rgb="FFFF0000"/>
        </patternFill>
      </fill>
    </dxf>
    <dxf>
      <fill>
        <patternFill>
          <bgColor rgb="FFFF9900"/>
        </patternFill>
      </fill>
    </dxf>
    <dxf>
      <fill>
        <patternFill>
          <bgColor rgb="FF00FF00"/>
        </patternFill>
      </fill>
    </dxf>
    <dxf>
      <fill>
        <patternFill>
          <bgColor rgb="FFFF0000"/>
        </patternFill>
      </fill>
    </dxf>
    <dxf>
      <fill>
        <patternFill>
          <bgColor rgb="FFFF9900"/>
        </patternFill>
      </fill>
    </dxf>
    <dxf>
      <fill>
        <patternFill>
          <bgColor rgb="FF00FF00"/>
        </patternFill>
      </fill>
    </dxf>
    <dxf>
      <fill>
        <patternFill patternType="none">
          <bgColor indexed="65"/>
        </patternFill>
      </fill>
    </dxf>
    <dxf>
      <fill>
        <patternFill>
          <bgColor rgb="FFFF0000"/>
        </patternFill>
      </fill>
    </dxf>
    <dxf>
      <fill>
        <patternFill>
          <bgColor rgb="FFFF9900"/>
        </patternFill>
      </fill>
    </dxf>
    <dxf>
      <fill>
        <patternFill>
          <bgColor rgb="FF00FF00"/>
        </patternFill>
      </fill>
    </dxf>
    <dxf>
      <fill>
        <patternFill>
          <bgColor rgb="FF00FF00"/>
        </patternFill>
      </fill>
    </dxf>
    <dxf>
      <fill>
        <patternFill>
          <bgColor rgb="FFFF9900"/>
        </patternFill>
      </fill>
    </dxf>
    <dxf>
      <fill>
        <patternFill>
          <bgColor rgb="FFFF0000"/>
        </patternFill>
      </fill>
    </dxf>
    <dxf>
      <fill>
        <patternFill>
          <bgColor rgb="FF00FF00"/>
        </patternFill>
      </fill>
    </dxf>
    <dxf>
      <fill>
        <patternFill>
          <bgColor rgb="FFFF9900"/>
        </patternFill>
      </fill>
    </dxf>
    <dxf>
      <fill>
        <patternFill>
          <bgColor rgb="FFFF0000"/>
        </patternFill>
      </fill>
    </dxf>
    <dxf>
      <fill>
        <patternFill>
          <bgColor rgb="FF00FF00"/>
        </patternFill>
      </fill>
    </dxf>
    <dxf>
      <fill>
        <patternFill>
          <bgColor rgb="FFFF9900"/>
        </patternFill>
      </fill>
    </dxf>
    <dxf>
      <font>
        <condense val="0"/>
        <extend val="0"/>
        <color auto="1"/>
      </font>
      <fill>
        <patternFill>
          <bgColor rgb="FFFF0000"/>
        </patternFill>
      </fill>
    </dxf>
    <dxf>
      <fill>
        <patternFill>
          <bgColor rgb="FFFF0000"/>
        </patternFill>
      </fill>
    </dxf>
    <dxf>
      <fill>
        <patternFill>
          <bgColor rgb="FFFF9900"/>
        </patternFill>
      </fill>
    </dxf>
    <dxf>
      <fill>
        <patternFill>
          <bgColor rgb="FF00FF00"/>
        </patternFill>
      </fill>
    </dxf>
    <dxf>
      <fill>
        <patternFill>
          <bgColor rgb="FFFF0000"/>
        </patternFill>
      </fill>
    </dxf>
    <dxf>
      <fill>
        <patternFill>
          <bgColor rgb="FFFF9900"/>
        </patternFill>
      </fill>
    </dxf>
    <dxf>
      <fill>
        <patternFill>
          <bgColor rgb="FF00FF00"/>
        </patternFill>
      </fill>
    </dxf>
    <dxf>
      <fill>
        <patternFill>
          <bgColor rgb="FFFF0000"/>
        </patternFill>
      </fill>
    </dxf>
    <dxf>
      <fill>
        <patternFill>
          <bgColor rgb="FFFF9900"/>
        </patternFill>
      </fill>
    </dxf>
    <dxf>
      <fill>
        <patternFill>
          <bgColor rgb="FF00FF00"/>
        </patternFill>
      </fill>
    </dxf>
    <dxf>
      <fill>
        <patternFill>
          <bgColor rgb="FFFF0000"/>
        </patternFill>
      </fill>
    </dxf>
    <dxf>
      <fill>
        <patternFill>
          <bgColor rgb="FFFF9900"/>
        </patternFill>
      </fill>
    </dxf>
    <dxf>
      <fill>
        <patternFill>
          <bgColor rgb="FF00FF00"/>
        </patternFill>
      </fill>
    </dxf>
    <dxf>
      <fill>
        <patternFill>
          <bgColor rgb="FFFF0000"/>
        </patternFill>
      </fill>
    </dxf>
    <dxf>
      <fill>
        <patternFill>
          <bgColor rgb="FFFF9900"/>
        </patternFill>
      </fill>
    </dxf>
    <dxf>
      <fill>
        <patternFill>
          <bgColor rgb="FF00FF00"/>
        </patternFill>
      </fill>
    </dxf>
    <dxf>
      <fill>
        <patternFill>
          <bgColor rgb="FFFF0000"/>
        </patternFill>
      </fill>
    </dxf>
    <dxf>
      <fill>
        <patternFill>
          <bgColor rgb="FFFF9900"/>
        </patternFill>
      </fill>
    </dxf>
    <dxf>
      <fill>
        <patternFill>
          <bgColor rgb="FF00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20</xdr:row>
      <xdr:rowOff>57150</xdr:rowOff>
    </xdr:from>
    <xdr:to>
      <xdr:col>4</xdr:col>
      <xdr:colOff>2162175</xdr:colOff>
      <xdr:row>22</xdr:row>
      <xdr:rowOff>333375</xdr:rowOff>
    </xdr:to>
    <xdr:pic>
      <xdr:nvPicPr>
        <xdr:cNvPr id="20481" name="Picture 1" descr="http://mirrors.creativecommons.org/presskit/buttons/88x31/png/by.png"/>
        <xdr:cNvPicPr>
          <a:picLocks noChangeAspect="1" noChangeArrowheads="1"/>
        </xdr:cNvPicPr>
      </xdr:nvPicPr>
      <xdr:blipFill>
        <a:blip xmlns:r="http://schemas.openxmlformats.org/officeDocument/2006/relationships" r:embed="rId1" cstate="print"/>
        <a:srcRect/>
        <a:stretch>
          <a:fillRect/>
        </a:stretch>
      </xdr:blipFill>
      <xdr:spPr bwMode="auto">
        <a:xfrm>
          <a:off x="9344025" y="6534150"/>
          <a:ext cx="2143125" cy="7334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P/SWAUP2/Demography/BWRM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neweconomymanchester.com/stories/1966" TargetMode="External"/><Relationship Id="rId1" Type="http://schemas.openxmlformats.org/officeDocument/2006/relationships/hyperlink" Target="mailto:cba@neweconomymanchester.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gdp-deflators-at-market-prices-and-money-gdp-march-2015-budget-2015"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lancs.ac.uk/fass/doc_library/sociology/Cost_of_domestic_violence_update.doc" TargetMode="External"/><Relationship Id="rId13" Type="http://schemas.openxmlformats.org/officeDocument/2006/relationships/hyperlink" Target="http://www.nao.org.uk/wp-content/uploads/2010/12/1011663_technical_paper.pdf" TargetMode="External"/><Relationship Id="rId18" Type="http://schemas.openxmlformats.org/officeDocument/2006/relationships/hyperlink" Target="superchttp://www.nao.org.uk/wp-content/uploads/2010/12/1011663_technical_paper.pdfeded" TargetMode="External"/><Relationship Id="rId26" Type="http://schemas.openxmlformats.org/officeDocument/2006/relationships/hyperlink" Target="http://www.nao.org.uk/wp-content/uploads/2010/12/1011663_technical_paper.pdf" TargetMode="External"/><Relationship Id="rId39" Type="http://schemas.openxmlformats.org/officeDocument/2006/relationships/printerSettings" Target="../printerSettings/printerSettings3.bin"/><Relationship Id="rId3" Type="http://schemas.openxmlformats.org/officeDocument/2006/relationships/hyperlink" Target="http://www.scotland.gov.uk/Resource/Doc/47176/0029635.pdf" TargetMode="External"/><Relationship Id="rId21" Type="http://schemas.openxmlformats.org/officeDocument/2006/relationships/hyperlink" Target="superchttp://www.nao.org.uk/wp-content/uploads/2010/12/1011663_technical_paper.pdfeded" TargetMode="External"/><Relationship Id="rId34" Type="http://schemas.openxmlformats.org/officeDocument/2006/relationships/hyperlink" Target="http://www.nao.org.uk/wp-content/uploads/2010/12/1011663_technical_paper.pdf" TargetMode="External"/><Relationship Id="rId7" Type="http://schemas.openxmlformats.org/officeDocument/2006/relationships/hyperlink" Target="http://webarchive.nationalarchives.gov.uk/20100405140447/http:/asb.homeoffice.gov.uk/uploadedFiles/Members_site/Documents_and_images/About_ASB_general/EconSocialCostASB_0142.pdf" TargetMode="External"/><Relationship Id="rId12" Type="http://schemas.openxmlformats.org/officeDocument/2006/relationships/hyperlink" Target="superchttp://www.nao.org.uk/wp-content/uploads/2010/12/1011663_technical_paper.pdfeded" TargetMode="External"/><Relationship Id="rId17" Type="http://schemas.openxmlformats.org/officeDocument/2006/relationships/hyperlink" Target="superchttp://www.nao.org.uk/wp-content/uploads/2010/12/1011663_technical_paper.pdfeded" TargetMode="External"/><Relationship Id="rId25" Type="http://schemas.openxmlformats.org/officeDocument/2006/relationships/hyperlink" Target="http://www.nao.org.uk/wp-content/uploads/2010/12/1011663_technical_paper.pdf" TargetMode="External"/><Relationship Id="rId33" Type="http://schemas.openxmlformats.org/officeDocument/2006/relationships/hyperlink" Target="http://www.nao.org.uk/wp-content/uploads/2010/12/1011663_technical_paper.pdf" TargetMode="External"/><Relationship Id="rId38" Type="http://schemas.openxmlformats.org/officeDocument/2006/relationships/hyperlink" Target="https://www.gov.uk/government/uploads/system/uploads/attachment_data/file/367551/cost-per-place-and-prisoner-2013-14-summary.pdf" TargetMode="External"/><Relationship Id="rId2" Type="http://schemas.openxmlformats.org/officeDocument/2006/relationships/hyperlink" Target="http://www.lancs.ac.uk/fass/doc_library/sociology/Cost_of_domestic_violence_update.doc" TargetMode="External"/><Relationship Id="rId16" Type="http://schemas.openxmlformats.org/officeDocument/2006/relationships/hyperlink" Target="superchttp://www.nao.org.uk/wp-content/uploads/2010/12/1011663_technical_paper.pdfeded" TargetMode="External"/><Relationship Id="rId20" Type="http://schemas.openxmlformats.org/officeDocument/2006/relationships/hyperlink" Target="superchttp://www.nao.org.uk/wp-content/uploads/2010/12/1011663_technical_paper.pdfeded" TargetMode="External"/><Relationship Id="rId29" Type="http://schemas.openxmlformats.org/officeDocument/2006/relationships/hyperlink" Target="http://www.nao.org.uk/wp-content/uploads/2010/12/1011663_technical_paper.pdf" TargetMode="External"/><Relationship Id="rId1" Type="http://schemas.openxmlformats.org/officeDocument/2006/relationships/hyperlink" Target="http://www.scotland.gov.uk/Resource/Doc/47176/0029635.pdf" TargetMode="External"/><Relationship Id="rId6" Type="http://schemas.openxmlformats.org/officeDocument/2006/relationships/hyperlink" Target="http://webarchive.nationalarchives.gov.uk/20100405140447/http:/asb.homeoffice.gov.uk/uploadedFiles/Members_site/Documents_and_images/About_ASB_general/EconSocialCostASB_0142.pdf" TargetMode="External"/><Relationship Id="rId11" Type="http://schemas.openxmlformats.org/officeDocument/2006/relationships/hyperlink" Target="superchttp://www.nao.org.uk/wp-content/uploads/2010/12/1011663_technical_paper.pdfeded" TargetMode="External"/><Relationship Id="rId24" Type="http://schemas.openxmlformats.org/officeDocument/2006/relationships/hyperlink" Target="http://www.nao.org.uk/wp-content/uploads/2010/12/1011663_technical_paper.pdf" TargetMode="External"/><Relationship Id="rId32" Type="http://schemas.openxmlformats.org/officeDocument/2006/relationships/hyperlink" Target="http://www.nao.org.uk/wp-content/uploads/2010/12/1011663_technical_paper.pdf" TargetMode="External"/><Relationship Id="rId37" Type="http://schemas.openxmlformats.org/officeDocument/2006/relationships/hyperlink" Target="https://www.gov.uk/government/uploads/system/uploads/attachment_data/file/367551/cost-per-place-and-prisoner-2013-14-summary.pdf" TargetMode="External"/><Relationship Id="rId5" Type="http://schemas.openxmlformats.org/officeDocument/2006/relationships/hyperlink" Target="http://www.nao.org.uk/publications/0607/tackling_anti-social_behaviour.aspx" TargetMode="External"/><Relationship Id="rId15" Type="http://schemas.openxmlformats.org/officeDocument/2006/relationships/hyperlink" Target="superchttp://www.nao.org.uk/wp-content/uploads/2010/12/1011663_technical_paper.pdfeded" TargetMode="External"/><Relationship Id="rId23" Type="http://schemas.openxmlformats.org/officeDocument/2006/relationships/hyperlink" Target="http://www.nao.org.uk/wp-content/uploads/2010/12/1011663_technical_paper.pdf" TargetMode="External"/><Relationship Id="rId28" Type="http://schemas.openxmlformats.org/officeDocument/2006/relationships/hyperlink" Target="http://www.nao.org.uk/wp-content/uploads/2010/12/1011663_technical_paper.pdf" TargetMode="External"/><Relationship Id="rId36" Type="http://schemas.openxmlformats.org/officeDocument/2006/relationships/hyperlink" Target="https://www.gov.uk/government/uploads/system/uploads/attachment_data/file/367551/cost-per-place-and-prisoner-2013-14-summary.pdf" TargetMode="External"/><Relationship Id="rId10" Type="http://schemas.openxmlformats.org/officeDocument/2006/relationships/hyperlink" Target="superchttp://www.nao.org.uk/wp-content/uploads/2010/12/1011663_technical_paper.pdfeded" TargetMode="External"/><Relationship Id="rId19" Type="http://schemas.openxmlformats.org/officeDocument/2006/relationships/hyperlink" Target="superchttp://www.nao.org.uk/wp-content/uploads/2010/12/1011663_technical_paper.pdfeded" TargetMode="External"/><Relationship Id="rId31" Type="http://schemas.openxmlformats.org/officeDocument/2006/relationships/hyperlink" Target="http://www.nao.org.uk/wp-content/uploads/2010/12/1011663_technical_paper.pdf" TargetMode="External"/><Relationship Id="rId4" Type="http://schemas.openxmlformats.org/officeDocument/2006/relationships/hyperlink" Target="http://www.nao.org.uk/publications/0607/tackling_anti-social_behaviour.aspx" TargetMode="External"/><Relationship Id="rId9" Type="http://schemas.openxmlformats.org/officeDocument/2006/relationships/hyperlink" Target="http://www.lancs.ac.uk/fass/doc_library/sociology/Cost_of_domestic_violence_update.doc" TargetMode="External"/><Relationship Id="rId14" Type="http://schemas.openxmlformats.org/officeDocument/2006/relationships/hyperlink" Target="superchttp://www.nao.org.uk/wp-content/uploads/2010/12/1011663_technical_paper.pdfeded" TargetMode="External"/><Relationship Id="rId22" Type="http://schemas.openxmlformats.org/officeDocument/2006/relationships/hyperlink" Target="http://www.nao.org.uk/wp-content/uploads/2010/12/1011663_technical_paper.pdf" TargetMode="External"/><Relationship Id="rId27" Type="http://schemas.openxmlformats.org/officeDocument/2006/relationships/hyperlink" Target="http://www.nao.org.uk/wp-content/uploads/2010/12/1011663_technical_paper.pdf" TargetMode="External"/><Relationship Id="rId30" Type="http://schemas.openxmlformats.org/officeDocument/2006/relationships/hyperlink" Target="http://www.nao.org.uk/wp-content/uploads/2010/12/1011663_technical_paper.pdf" TargetMode="External"/><Relationship Id="rId35" Type="http://schemas.openxmlformats.org/officeDocument/2006/relationships/hyperlink" Target="http://www.pssru.ac.uk/archive/pdf/dp2855.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thinknpc.org/publications/misspent-youth/" TargetMode="External"/><Relationship Id="rId13" Type="http://schemas.openxmlformats.org/officeDocument/2006/relationships/hyperlink" Target="https://www.gov.uk/government/uploads/system/uploads/attachment_data/file/32354/11-1282-returns-intermediate-and-low-level-vocational-qualifications.pdf" TargetMode="External"/><Relationship Id="rId18" Type="http://schemas.openxmlformats.org/officeDocument/2006/relationships/vmlDrawing" Target="../drawings/vmlDrawing1.vml"/><Relationship Id="rId3" Type="http://schemas.openxmlformats.org/officeDocument/2006/relationships/hyperlink" Target="https://www.gov.uk/government/uploads/system/uploads/attachment_data/file/147343/dh_126386.pdf.pdf" TargetMode="External"/><Relationship Id="rId7" Type="http://schemas.openxmlformats.org/officeDocument/2006/relationships/hyperlink" Target="http://www.thinknpc.org/publications/misspent-youth/" TargetMode="External"/><Relationship Id="rId12" Type="http://schemas.openxmlformats.org/officeDocument/2006/relationships/hyperlink" Target="http://media.education.gov.uk/assets/files/doc/i/illustrative%20examples.doc" TargetMode="External"/><Relationship Id="rId17" Type="http://schemas.openxmlformats.org/officeDocument/2006/relationships/printerSettings" Target="../printerSettings/printerSettings4.bin"/><Relationship Id="rId2" Type="http://schemas.openxmlformats.org/officeDocument/2006/relationships/hyperlink" Target="https://www.gov.uk/government/uploads/system/uploads/attachment_data/file/147343/dh_126386.pdf.pdf" TargetMode="External"/><Relationship Id="rId16" Type="http://schemas.openxmlformats.org/officeDocument/2006/relationships/hyperlink" Target="http://www.bis.gov.uk/assets/biscore/further-education-skills/docs/e/12-814-employer-investment-in-apprenticeships-fifth-net-benefits-study.pdf" TargetMode="External"/><Relationship Id="rId1" Type="http://schemas.openxmlformats.org/officeDocument/2006/relationships/hyperlink" Target="https://www.gov.uk/government/uploads/system/uploads/attachment_data/file/147343/dh_126386.pdf.pdf" TargetMode="External"/><Relationship Id="rId6" Type="http://schemas.openxmlformats.org/officeDocument/2006/relationships/hyperlink" Target="https://www.gov.uk/government/uploads/system/uploads/attachment_data/file/147343/dh_126386.pdf.pdf" TargetMode="External"/><Relationship Id="rId11" Type="http://schemas.openxmlformats.org/officeDocument/2006/relationships/hyperlink" Target="https://www.gov.uk/government/uploads/system/uploads/attachment_data/file/32419/11-973-returns-to-higher-education-qualifications.pdf" TargetMode="External"/><Relationship Id="rId5" Type="http://schemas.openxmlformats.org/officeDocument/2006/relationships/hyperlink" Target="https://www.gov.uk/government/uploads/system/uploads/attachment_data/file/147343/dh_126386.pdf.pdf" TargetMode="External"/><Relationship Id="rId15" Type="http://schemas.openxmlformats.org/officeDocument/2006/relationships/hyperlink" Target="http://www.bis.gov.uk/assets/biscore/further-education-skills/docs/e/12-814-employer-investment-in-apprenticeships-fifth-net-benefits-study.pdf" TargetMode="External"/><Relationship Id="rId10" Type="http://schemas.openxmlformats.org/officeDocument/2006/relationships/hyperlink" Target="https://www.gov.uk/government/uploads/system/uploads/attachment_data/file/32354/11-1282-returns-intermediate-and-low-level-vocational-qualifications.pdf" TargetMode="External"/><Relationship Id="rId19" Type="http://schemas.openxmlformats.org/officeDocument/2006/relationships/comments" Target="../comments1.xml"/><Relationship Id="rId4" Type="http://schemas.openxmlformats.org/officeDocument/2006/relationships/hyperlink" Target="https://www.gov.uk/government/uploads/system/uploads/attachment_data/file/147343/dh_126386.pdf.pdf" TargetMode="External"/><Relationship Id="rId9" Type="http://schemas.openxmlformats.org/officeDocument/2006/relationships/hyperlink" Target="http://www.thinknpc.org/publications/misspent-youth/" TargetMode="External"/><Relationship Id="rId14" Type="http://schemas.openxmlformats.org/officeDocument/2006/relationships/hyperlink" Target="http://www.bis.gov.uk/assets/biscore/further-education-skills/docs/e/12-814-employer-investment-in-apprenticeships-fifth-net-benefits-study.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gov.uk/jobseekers-allowance/what-youll-get" TargetMode="External"/><Relationship Id="rId18" Type="http://schemas.openxmlformats.org/officeDocument/2006/relationships/hyperlink" Target="https://www.gov.uk/income-support/what-youll-get" TargetMode="External"/><Relationship Id="rId26" Type="http://schemas.openxmlformats.org/officeDocument/2006/relationships/hyperlink" Target="https://www.gov.uk/pip/what-youll-get" TargetMode="External"/><Relationship Id="rId39" Type="http://schemas.openxmlformats.org/officeDocument/2006/relationships/hyperlink" Target="https://www.gov.uk/performance/transactions-explorer/data/transaction-volumes.csv" TargetMode="External"/><Relationship Id="rId21" Type="http://schemas.openxmlformats.org/officeDocument/2006/relationships/hyperlink" Target="https://www.gov.uk/income-support/what-youll-get" TargetMode="External"/><Relationship Id="rId34" Type="http://schemas.openxmlformats.org/officeDocument/2006/relationships/hyperlink" Target="https://www.gov.uk/disability-living-allowance-children/rates" TargetMode="External"/><Relationship Id="rId42" Type="http://schemas.openxmlformats.org/officeDocument/2006/relationships/hyperlink" Target="https://www.gov.uk/performance/transactions-explorer/data/transaction-volumes.csv" TargetMode="External"/><Relationship Id="rId47" Type="http://schemas.openxmlformats.org/officeDocument/2006/relationships/hyperlink" Target="https://www.gov.uk/performance/transactions-explorer/data/transaction-volumes.csv" TargetMode="External"/><Relationship Id="rId50" Type="http://schemas.openxmlformats.org/officeDocument/2006/relationships/hyperlink" Target="https://www.gov.uk/performance/transactions-explorer/data/transaction-volumes.csv" TargetMode="External"/><Relationship Id="rId55" Type="http://schemas.openxmlformats.org/officeDocument/2006/relationships/hyperlink" Target="http://www.cesi.org.uk/sites/default/files/event_downloads/ACEVO_report.pdf" TargetMode="External"/><Relationship Id="rId63" Type="http://schemas.openxmlformats.org/officeDocument/2006/relationships/comments" Target="../comments2.xml"/><Relationship Id="rId7" Type="http://schemas.openxmlformats.org/officeDocument/2006/relationships/hyperlink" Target="https://www.gov.uk/dla-disability-living-allowance-benefit/what-youll-get" TargetMode="External"/><Relationship Id="rId2" Type="http://schemas.openxmlformats.org/officeDocument/2006/relationships/hyperlink" Target="http://www.dwp.gov.uk/publications/policy-publications/worklessness-codesign.shtml" TargetMode="External"/><Relationship Id="rId16" Type="http://schemas.openxmlformats.org/officeDocument/2006/relationships/hyperlink" Target="https://www.gov.uk/employment-support-allowance/what-youll-get" TargetMode="External"/><Relationship Id="rId20" Type="http://schemas.openxmlformats.org/officeDocument/2006/relationships/hyperlink" Target="https://www.gov.uk/income-support/what-youll-get" TargetMode="External"/><Relationship Id="rId29" Type="http://schemas.openxmlformats.org/officeDocument/2006/relationships/hyperlink" Target="https://www.gov.uk/pip/what-youll-get" TargetMode="External"/><Relationship Id="rId41" Type="http://schemas.openxmlformats.org/officeDocument/2006/relationships/hyperlink" Target="https://www.gov.uk/performance/transactions-explorer/data/transaction-volumes.csv" TargetMode="External"/><Relationship Id="rId54" Type="http://schemas.openxmlformats.org/officeDocument/2006/relationships/hyperlink" Target="http://www.cesi.org.uk/sites/default/files/event_downloads/ACEVO_report.pdf" TargetMode="External"/><Relationship Id="rId62" Type="http://schemas.openxmlformats.org/officeDocument/2006/relationships/vmlDrawing" Target="../drawings/vmlDrawing2.vml"/><Relationship Id="rId1" Type="http://schemas.openxmlformats.org/officeDocument/2006/relationships/hyperlink" Target="http://www.cesi.org.uk/sites/default/files/event_downloads/ACEVO_report.pdf" TargetMode="External"/><Relationship Id="rId6" Type="http://schemas.openxmlformats.org/officeDocument/2006/relationships/hyperlink" Target="https://www.gov.uk/carers-allowance/what-youll-get" TargetMode="External"/><Relationship Id="rId11" Type="http://schemas.openxmlformats.org/officeDocument/2006/relationships/hyperlink" Target="https://www.gov.uk/jobseekers-allowance/what-youll-get" TargetMode="External"/><Relationship Id="rId24" Type="http://schemas.openxmlformats.org/officeDocument/2006/relationships/hyperlink" Target="https://www.gov.uk/income-support/what-youll-get" TargetMode="External"/><Relationship Id="rId32" Type="http://schemas.openxmlformats.org/officeDocument/2006/relationships/hyperlink" Target="https://www.gov.uk/dla-disability-living-allowance-benefit/what-youll-get" TargetMode="External"/><Relationship Id="rId37" Type="http://schemas.openxmlformats.org/officeDocument/2006/relationships/hyperlink" Target="https://www.gov.uk/disability-living-allowance-children/rates" TargetMode="External"/><Relationship Id="rId40" Type="http://schemas.openxmlformats.org/officeDocument/2006/relationships/hyperlink" Target="https://www.gov.uk/performance/transactions-explorer/data/transaction-volumes.csv" TargetMode="External"/><Relationship Id="rId45" Type="http://schemas.openxmlformats.org/officeDocument/2006/relationships/hyperlink" Target="https://www.gov.uk/performance/transactions-explorer/data/transaction-volumes.csv" TargetMode="External"/><Relationship Id="rId53" Type="http://schemas.openxmlformats.org/officeDocument/2006/relationships/hyperlink" Target="http://www.cesi.org.uk/sites/default/files/event_downloads/ACEVO_report.pdf" TargetMode="External"/><Relationship Id="rId58" Type="http://schemas.openxmlformats.org/officeDocument/2006/relationships/hyperlink" Target="http://www.cesi.org.uk/sites/default/files/event_downloads/ACEVO_report.pdf" TargetMode="External"/><Relationship Id="rId5" Type="http://schemas.openxmlformats.org/officeDocument/2006/relationships/hyperlink" Target="https://www.gov.uk/attendance-allowance/what-youll-get" TargetMode="External"/><Relationship Id="rId15" Type="http://schemas.openxmlformats.org/officeDocument/2006/relationships/hyperlink" Target="https://www.gov.uk/employment-support-allowance/what-youll-get" TargetMode="External"/><Relationship Id="rId23" Type="http://schemas.openxmlformats.org/officeDocument/2006/relationships/hyperlink" Target="https://www.gov.uk/income-support/what-youll-get" TargetMode="External"/><Relationship Id="rId28" Type="http://schemas.openxmlformats.org/officeDocument/2006/relationships/hyperlink" Target="https://www.gov.uk/pip/what-youll-get" TargetMode="External"/><Relationship Id="rId36" Type="http://schemas.openxmlformats.org/officeDocument/2006/relationships/hyperlink" Target="https://www.gov.uk/disability-living-allowance-children/rates" TargetMode="External"/><Relationship Id="rId49" Type="http://schemas.openxmlformats.org/officeDocument/2006/relationships/hyperlink" Target="https://www.gov.uk/performance/transactions-explorer/data/transaction-volumes.csv" TargetMode="External"/><Relationship Id="rId57" Type="http://schemas.openxmlformats.org/officeDocument/2006/relationships/hyperlink" Target="http://www.cesi.org.uk/sites/default/files/event_downloads/ACEVO_report.pdf" TargetMode="External"/><Relationship Id="rId61" Type="http://schemas.openxmlformats.org/officeDocument/2006/relationships/printerSettings" Target="../printerSettings/printerSettings5.bin"/><Relationship Id="rId10" Type="http://schemas.openxmlformats.org/officeDocument/2006/relationships/hyperlink" Target="https://www.gov.uk/jobseekers-allowance/what-youll-get" TargetMode="External"/><Relationship Id="rId19" Type="http://schemas.openxmlformats.org/officeDocument/2006/relationships/hyperlink" Target="https://www.gov.uk/income-support/what-youll-get" TargetMode="External"/><Relationship Id="rId31" Type="http://schemas.openxmlformats.org/officeDocument/2006/relationships/hyperlink" Target="https://www.gov.uk/dla-disability-living-allowance-benefit/what-youll-get" TargetMode="External"/><Relationship Id="rId44" Type="http://schemas.openxmlformats.org/officeDocument/2006/relationships/hyperlink" Target="https://www.gov.uk/performance/transactions-explorer/data/transaction-volumes.csv" TargetMode="External"/><Relationship Id="rId52" Type="http://schemas.openxmlformats.org/officeDocument/2006/relationships/hyperlink" Target="http://www.cesi.org.uk/sites/default/files/event_downloads/ACEVO_report.pdf" TargetMode="External"/><Relationship Id="rId60" Type="http://schemas.openxmlformats.org/officeDocument/2006/relationships/hyperlink" Target="http://www.publications.parliament.uk/pa/cm201213/cmhansrd/cm130206/text/130206w0006.htm" TargetMode="External"/><Relationship Id="rId4" Type="http://schemas.openxmlformats.org/officeDocument/2006/relationships/hyperlink" Target="http://www.publications.parliament.uk/pa/cm201213/cmhansrd/cm130206/text/130206w0006.htm" TargetMode="External"/><Relationship Id="rId9" Type="http://schemas.openxmlformats.org/officeDocument/2006/relationships/hyperlink" Target="https://www.gov.uk/income-support/what-youll-get" TargetMode="External"/><Relationship Id="rId14" Type="http://schemas.openxmlformats.org/officeDocument/2006/relationships/hyperlink" Target="https://www.gov.uk/jobseekers-allowance/what-youll-get" TargetMode="External"/><Relationship Id="rId22" Type="http://schemas.openxmlformats.org/officeDocument/2006/relationships/hyperlink" Target="https://www.gov.uk/income-support/what-youll-get" TargetMode="External"/><Relationship Id="rId27" Type="http://schemas.openxmlformats.org/officeDocument/2006/relationships/hyperlink" Target="https://www.gov.uk/pip/what-youll-get" TargetMode="External"/><Relationship Id="rId30" Type="http://schemas.openxmlformats.org/officeDocument/2006/relationships/hyperlink" Target="https://www.gov.uk/dla-disability-living-allowance-benefit/what-youll-get" TargetMode="External"/><Relationship Id="rId35" Type="http://schemas.openxmlformats.org/officeDocument/2006/relationships/hyperlink" Target="https://www.gov.uk/disability-living-allowance-children/rates" TargetMode="External"/><Relationship Id="rId43" Type="http://schemas.openxmlformats.org/officeDocument/2006/relationships/hyperlink" Target="https://www.gov.uk/performance/transactions-explorer/data/transaction-volumes.csv" TargetMode="External"/><Relationship Id="rId48" Type="http://schemas.openxmlformats.org/officeDocument/2006/relationships/hyperlink" Target="https://www.gov.uk/performance/transactions-explorer/data/transaction-volumes.csv" TargetMode="External"/><Relationship Id="rId56" Type="http://schemas.openxmlformats.org/officeDocument/2006/relationships/hyperlink" Target="http://www.cesi.org.uk/sites/default/files/event_downloads/ACEVO_report.pdf" TargetMode="External"/><Relationship Id="rId8" Type="http://schemas.openxmlformats.org/officeDocument/2006/relationships/hyperlink" Target="https://www.gov.uk/employment-support-allowance/what-youll-get" TargetMode="External"/><Relationship Id="rId51" Type="http://schemas.openxmlformats.org/officeDocument/2006/relationships/hyperlink" Target="http://www.cesi.org.uk/sites/default/files/event_downloads/ACEVO_report.pdf" TargetMode="External"/><Relationship Id="rId3" Type="http://schemas.openxmlformats.org/officeDocument/2006/relationships/hyperlink" Target="http://www.cesi.org.uk/sites/default/files/event_downloads/ACEVO_report.pdf" TargetMode="External"/><Relationship Id="rId12" Type="http://schemas.openxmlformats.org/officeDocument/2006/relationships/hyperlink" Target="https://www.gov.uk/jobseekers-allowance/what-youll-get" TargetMode="External"/><Relationship Id="rId17" Type="http://schemas.openxmlformats.org/officeDocument/2006/relationships/hyperlink" Target="https://www.gov.uk/employment-support-allowance/what-youll-get" TargetMode="External"/><Relationship Id="rId25" Type="http://schemas.openxmlformats.org/officeDocument/2006/relationships/hyperlink" Target="https://www.gov.uk/attendance-allowance/what-youll-get" TargetMode="External"/><Relationship Id="rId33" Type="http://schemas.openxmlformats.org/officeDocument/2006/relationships/hyperlink" Target="https://www.gov.uk/dla-disability-living-allowance-benefit/what-youll-get" TargetMode="External"/><Relationship Id="rId38" Type="http://schemas.openxmlformats.org/officeDocument/2006/relationships/hyperlink" Target="https://www.gov.uk/disability-living-allowance-children/rates" TargetMode="External"/><Relationship Id="rId46" Type="http://schemas.openxmlformats.org/officeDocument/2006/relationships/hyperlink" Target="https://www.gov.uk/performance/transactions-explorer/data/transaction-volumes.csv" TargetMode="External"/><Relationship Id="rId59" Type="http://schemas.openxmlformats.org/officeDocument/2006/relationships/hyperlink" Target="http://www.publications.parliament.uk/pa/cm201213/cmhansrd/cm130206/text/130206w0006.ht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ebarchive.nationalarchives.gov.uk/20121108165934/http:/www.communities.gov.uk/archived/general-content/corporate/researcharchive/volume2/" TargetMode="External"/><Relationship Id="rId13" Type="http://schemas.openxmlformats.org/officeDocument/2006/relationships/hyperlink" Target="http://webarchive.nationalarchives.gov.uk/20121108165934/http:/www.communities.gov.uk/archived/general-content/corporate/researcharchive/volume2/" TargetMode="External"/><Relationship Id="rId3" Type="http://schemas.openxmlformats.org/officeDocument/2006/relationships/hyperlink" Target="http://webarchive.nationalarchives.gov.uk/20121108165934/http:/www.communities.gov.uk/documents/corporate/pdf/1838338.pdf" TargetMode="External"/><Relationship Id="rId7" Type="http://schemas.openxmlformats.org/officeDocument/2006/relationships/hyperlink" Target="http://webarchive.nationalarchives.gov.uk/20121108165934/http:/www.communities.gov.uk/archived/general-content/corporate/researcharchive/volume2/" TargetMode="External"/><Relationship Id="rId12" Type="http://schemas.openxmlformats.org/officeDocument/2006/relationships/hyperlink" Target="http://webarchive.nationalarchives.gov.uk/20121108165934/http:/www.communities.gov.uk/archived/general-content/corporate/researcharchive/volume2/" TargetMode="External"/><Relationship Id="rId17" Type="http://schemas.openxmlformats.org/officeDocument/2006/relationships/printerSettings" Target="../printerSettings/printerSettings6.bin"/><Relationship Id="rId2" Type="http://schemas.openxmlformats.org/officeDocument/2006/relationships/hyperlink" Target="http://webarchive.nationalarchives.gov.uk/20121108165934/http:/www.communities.gov.uk/archived/general-content/corporate/researcharchive/volume2/" TargetMode="External"/><Relationship Id="rId16" Type="http://schemas.openxmlformats.org/officeDocument/2006/relationships/hyperlink" Target="http://webarchive.nationalarchives.gov.uk/20121108165934/http:/www.communities.gov.uk/archived/general-content/corporate/researcharchive/volume2/" TargetMode="External"/><Relationship Id="rId1" Type="http://schemas.openxmlformats.org/officeDocument/2006/relationships/hyperlink" Target="http://webarchive.nationalarchives.gov.uk/20121108165934/http:/www.communities.gov.uk/archived/general-content/corporate/researcharchive/volume2/" TargetMode="External"/><Relationship Id="rId6" Type="http://schemas.openxmlformats.org/officeDocument/2006/relationships/hyperlink" Target="http://webarchive.nationalarchives.gov.uk/20121108165934/http:/www.communities.gov.uk/archived/general-content/corporate/researcharchive/volume2/" TargetMode="External"/><Relationship Id="rId11" Type="http://schemas.openxmlformats.org/officeDocument/2006/relationships/hyperlink" Target="http://webarchive.nationalarchives.gov.uk/20121108165934/http:/www.communities.gov.uk/archived/general-content/corporate/researcharchive/volume2/" TargetMode="External"/><Relationship Id="rId5" Type="http://schemas.openxmlformats.org/officeDocument/2006/relationships/hyperlink" Target="http://webarchive.nationalarchives.gov.uk/20121108165934/http:/www.communities.gov.uk/archived/general-content/corporate/researcharchive/volume2/" TargetMode="External"/><Relationship Id="rId15" Type="http://schemas.openxmlformats.org/officeDocument/2006/relationships/hyperlink" Target="http://webarchive.nationalarchives.gov.uk/20121108165934/http:/www.communities.gov.uk/archived/general-content/corporate/researcharchive/volume2/" TargetMode="External"/><Relationship Id="rId10" Type="http://schemas.openxmlformats.org/officeDocument/2006/relationships/hyperlink" Target="http://webarchive.nationalarchives.gov.uk/20121108165934/http:/www.communities.gov.uk/archived/general-content/corporate/researcharchive/volume2/" TargetMode="External"/><Relationship Id="rId4" Type="http://schemas.openxmlformats.org/officeDocument/2006/relationships/hyperlink" Target="http://webarchive.nationalarchives.gov.uk/20121108165934/http:/www.communities.gov.uk/archived/general-content/corporate/researcharchive/volume2/" TargetMode="External"/><Relationship Id="rId9" Type="http://schemas.openxmlformats.org/officeDocument/2006/relationships/hyperlink" Target="http://webarchive.nationalarchives.gov.uk/20121108165934/http:/www.communities.gov.uk/archived/general-content/corporate/researcharchive/volume2/" TargetMode="External"/><Relationship Id="rId14" Type="http://schemas.openxmlformats.org/officeDocument/2006/relationships/hyperlink" Target="http://webarchive.nationalarchives.gov.uk/20121108165934/http:/www.communities.gov.uk/archived/general-content/corporate/researcharchive/volume2/"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ndtms.net/Reports.aspx?time=U&amp;theme=u" TargetMode="External"/><Relationship Id="rId117" Type="http://schemas.openxmlformats.org/officeDocument/2006/relationships/hyperlink" Target="https://www.gov.uk/government/uploads/system/uploads/attachment_data/file/127114/National-schedules.zip.zip" TargetMode="External"/><Relationship Id="rId21" Type="http://schemas.openxmlformats.org/officeDocument/2006/relationships/hyperlink" Target="https://www.gov.uk/government/uploads/system/uploads/attachment_data/file/127114/National-schedules.zip.zip" TargetMode="External"/><Relationship Id="rId42" Type="http://schemas.openxmlformats.org/officeDocument/2006/relationships/hyperlink" Target="http://www.nice.org.uk/nicemedia/live/13024/49325/49325.pdf" TargetMode="External"/><Relationship Id="rId47" Type="http://schemas.openxmlformats.org/officeDocument/2006/relationships/hyperlink" Target="https://www.gov.uk/government/uploads/system/uploads/attachment_data/file/151953/dh_133578.xls.xls" TargetMode="External"/><Relationship Id="rId63" Type="http://schemas.openxmlformats.org/officeDocument/2006/relationships/hyperlink" Target="http://www.kingsfund.org.uk/publications/paying_the_price.html" TargetMode="External"/><Relationship Id="rId68" Type="http://schemas.openxmlformats.org/officeDocument/2006/relationships/hyperlink" Target="http://www.kingsfund.org.uk/publications/paying_the_price.html" TargetMode="External"/><Relationship Id="rId84" Type="http://schemas.openxmlformats.org/officeDocument/2006/relationships/hyperlink" Target="https://www.gov.uk/government/uploads/system/uploads/attachment_data/file/127114/National-schedules.zip.zip" TargetMode="External"/><Relationship Id="rId89" Type="http://schemas.openxmlformats.org/officeDocument/2006/relationships/hyperlink" Target="http://www.pssru.ac.uk/project-pages/unit-costs/2013/index.php?file=full" TargetMode="External"/><Relationship Id="rId112" Type="http://schemas.openxmlformats.org/officeDocument/2006/relationships/hyperlink" Target="https://www.gov.uk/government/uploads/system/uploads/attachment_data/file/127114/National-schedules.zip.zip" TargetMode="External"/><Relationship Id="rId133" Type="http://schemas.openxmlformats.org/officeDocument/2006/relationships/hyperlink" Target="http://www.pssru.ac.uk/project-pages/unit-costs/2014/index.php?file=full" TargetMode="External"/><Relationship Id="rId138" Type="http://schemas.openxmlformats.org/officeDocument/2006/relationships/hyperlink" Target="http://www.pssru.ac.uk/project-pages/unit-costs/2014/index.php?file=full" TargetMode="External"/><Relationship Id="rId154" Type="http://schemas.openxmlformats.org/officeDocument/2006/relationships/hyperlink" Target="http://www.pssru.ac.uk/project-pages/unit-costs/2014/index.php?file=full" TargetMode="External"/><Relationship Id="rId159" Type="http://schemas.openxmlformats.org/officeDocument/2006/relationships/hyperlink" Target="http://www.pssru.ac.uk/project-pages/unit-costs/2014/index.php?file=full" TargetMode="External"/><Relationship Id="rId175" Type="http://schemas.openxmlformats.org/officeDocument/2006/relationships/hyperlink" Target="http://www.pssru.ac.uk/project-pages/unit-costs/2014/index.php?file=full" TargetMode="External"/><Relationship Id="rId170" Type="http://schemas.openxmlformats.org/officeDocument/2006/relationships/hyperlink" Target="http://www.pssru.ac.uk/project-pages/unit-costs/2014/index.php?file=full" TargetMode="External"/><Relationship Id="rId16" Type="http://schemas.openxmlformats.org/officeDocument/2006/relationships/hyperlink" Target="https://www.gov.uk/government/uploads/system/uploads/attachment_data/file/127114/National-schedules.zip.zip" TargetMode="External"/><Relationship Id="rId107" Type="http://schemas.openxmlformats.org/officeDocument/2006/relationships/hyperlink" Target="https://www.gov.uk/government/uploads/system/uploads/attachment_data/file/127114/National-schedules.zip.zip" TargetMode="External"/><Relationship Id="rId11" Type="http://schemas.openxmlformats.org/officeDocument/2006/relationships/hyperlink" Target="http://www.nta.nhs.uk/uploads/vfm2012.pdf" TargetMode="External"/><Relationship Id="rId32" Type="http://schemas.openxmlformats.org/officeDocument/2006/relationships/hyperlink" Target="https://www.gov.uk/government/uploads/system/uploads/attachment_data/file/127114/National-schedules.zip.zip" TargetMode="External"/><Relationship Id="rId37" Type="http://schemas.openxmlformats.org/officeDocument/2006/relationships/hyperlink" Target="http://jech.bmj.com/content/57/9/740.full.pdf+html" TargetMode="External"/><Relationship Id="rId53" Type="http://schemas.openxmlformats.org/officeDocument/2006/relationships/hyperlink" Target="http://www.kingsfund.org.uk/publications/paying_the_price.html" TargetMode="External"/><Relationship Id="rId58" Type="http://schemas.openxmlformats.org/officeDocument/2006/relationships/hyperlink" Target="http://www.kingsfund.org.uk/publications/paying_the_price.html" TargetMode="External"/><Relationship Id="rId74" Type="http://schemas.openxmlformats.org/officeDocument/2006/relationships/hyperlink" Target="http://www.kingsfund.org.uk/publications/paying_the_price.html" TargetMode="External"/><Relationship Id="rId79" Type="http://schemas.openxmlformats.org/officeDocument/2006/relationships/hyperlink" Target="https://www.gov.uk/government/uploads/system/uploads/attachment_data/file/127114/National-schedules.zip.zip" TargetMode="External"/><Relationship Id="rId102" Type="http://schemas.openxmlformats.org/officeDocument/2006/relationships/hyperlink" Target="https://www.gov.uk/government/uploads/system/uploads/attachment_data/file/127114/National-schedules.zip.zip" TargetMode="External"/><Relationship Id="rId123" Type="http://schemas.openxmlformats.org/officeDocument/2006/relationships/hyperlink" Target="http://www.pssru.ac.uk/project-pages/unit-costs/2014/index.php?file=full" TargetMode="External"/><Relationship Id="rId128" Type="http://schemas.openxmlformats.org/officeDocument/2006/relationships/hyperlink" Target="http://www.pssru.ac.uk/project-pages/unit-costs/2014/index.php?file=full" TargetMode="External"/><Relationship Id="rId144" Type="http://schemas.openxmlformats.org/officeDocument/2006/relationships/hyperlink" Target="http://www.pssru.ac.uk/project-pages/unit-costs/2014/index.php?file=full" TargetMode="External"/><Relationship Id="rId149" Type="http://schemas.openxmlformats.org/officeDocument/2006/relationships/hyperlink" Target="http://www.pssru.ac.uk/project-pages/unit-costs/2014/index.php?file=full" TargetMode="External"/><Relationship Id="rId5" Type="http://schemas.openxmlformats.org/officeDocument/2006/relationships/hyperlink" Target="http://www.pssru.ac.uk/project-pages/unit-costs/2012/index.php?file=full" TargetMode="External"/><Relationship Id="rId90" Type="http://schemas.openxmlformats.org/officeDocument/2006/relationships/hyperlink" Target="http://www.pssru.ac.uk/project-pages/unit-costs/2013/index.php?file=full" TargetMode="External"/><Relationship Id="rId95" Type="http://schemas.openxmlformats.org/officeDocument/2006/relationships/hyperlink" Target="https://www.gov.uk/government/uploads/system/uploads/attachment_data/file/127114/National-schedules.zip.zip" TargetMode="External"/><Relationship Id="rId160" Type="http://schemas.openxmlformats.org/officeDocument/2006/relationships/hyperlink" Target="http://www.pssru.ac.uk/project-pages/unit-costs/2014/index.php?file=full" TargetMode="External"/><Relationship Id="rId165" Type="http://schemas.openxmlformats.org/officeDocument/2006/relationships/hyperlink" Target="http://www.pssru.ac.uk/project-pages/unit-costs/2014/index.php?file=full" TargetMode="External"/><Relationship Id="rId181" Type="http://schemas.openxmlformats.org/officeDocument/2006/relationships/hyperlink" Target="https://www.gov.uk/government/uploads/system/uploads/attachment_data/file/127114/National-schedules.zip.zip" TargetMode="External"/><Relationship Id="rId22" Type="http://schemas.openxmlformats.org/officeDocument/2006/relationships/hyperlink" Target="https://www.gov.uk/government/uploads/system/uploads/attachment_data/file/127114/National-schedules.zip.zip" TargetMode="External"/><Relationship Id="rId27" Type="http://schemas.openxmlformats.org/officeDocument/2006/relationships/hyperlink" Target="https://www.ndtms.net/Reports.aspx?time=U&amp;theme=u" TargetMode="External"/><Relationship Id="rId43" Type="http://schemas.openxmlformats.org/officeDocument/2006/relationships/hyperlink" Target="http://www.nice.org.uk/nicemedia/live/13024/49325/49325.pdf" TargetMode="External"/><Relationship Id="rId48" Type="http://schemas.openxmlformats.org/officeDocument/2006/relationships/hyperlink" Target="https://www.gov.uk/government/uploads/system/uploads/attachment_data/file/151953/dh_133578.xls.xls" TargetMode="External"/><Relationship Id="rId64" Type="http://schemas.openxmlformats.org/officeDocument/2006/relationships/hyperlink" Target="http://www.kingsfund.org.uk/publications/paying_the_price.html" TargetMode="External"/><Relationship Id="rId69" Type="http://schemas.openxmlformats.org/officeDocument/2006/relationships/hyperlink" Target="http://www.kingsfund.org.uk/publications/paying_the_price.html" TargetMode="External"/><Relationship Id="rId113" Type="http://schemas.openxmlformats.org/officeDocument/2006/relationships/hyperlink" Target="https://www.gov.uk/government/uploads/system/uploads/attachment_data/file/127114/National-schedules.zip.zip" TargetMode="External"/><Relationship Id="rId118" Type="http://schemas.openxmlformats.org/officeDocument/2006/relationships/hyperlink" Target="https://www.gov.uk/government/uploads/system/uploads/attachment_data/file/127114/National-schedules.zip.zip" TargetMode="External"/><Relationship Id="rId134" Type="http://schemas.openxmlformats.org/officeDocument/2006/relationships/hyperlink" Target="http://www.pssru.ac.uk/project-pages/unit-costs/2014/index.php?file=full" TargetMode="External"/><Relationship Id="rId139" Type="http://schemas.openxmlformats.org/officeDocument/2006/relationships/hyperlink" Target="http://www.pssru.ac.uk/project-pages/unit-costs/2014/index.php?file=full" TargetMode="External"/><Relationship Id="rId80" Type="http://schemas.openxmlformats.org/officeDocument/2006/relationships/hyperlink" Target="https://www.gov.uk/government/uploads/system/uploads/attachment_data/file/127114/National-schedules.zip.zip" TargetMode="External"/><Relationship Id="rId85" Type="http://schemas.openxmlformats.org/officeDocument/2006/relationships/hyperlink" Target="http://www.pssru.ac.uk/project-pages/unit-costs/2013/index.php?file=full" TargetMode="External"/><Relationship Id="rId150" Type="http://schemas.openxmlformats.org/officeDocument/2006/relationships/hyperlink" Target="http://www.pssru.ac.uk/project-pages/unit-costs/2014/index.php?file=full" TargetMode="External"/><Relationship Id="rId155" Type="http://schemas.openxmlformats.org/officeDocument/2006/relationships/hyperlink" Target="http://www.pssru.ac.uk/project-pages/unit-costs/2014/index.php?file=full" TargetMode="External"/><Relationship Id="rId171" Type="http://schemas.openxmlformats.org/officeDocument/2006/relationships/hyperlink" Target="http://www.pssru.ac.uk/project-pages/unit-costs/2014/index.php?file=full" TargetMode="External"/><Relationship Id="rId176" Type="http://schemas.openxmlformats.org/officeDocument/2006/relationships/hyperlink" Target="http://www.pssru.ac.uk/project-pages/unit-costs/2014/index.php?file=full" TargetMode="External"/><Relationship Id="rId12" Type="http://schemas.openxmlformats.org/officeDocument/2006/relationships/hyperlink" Target="http://www.dtors.org.uk/reports/DTORS_CostEffect_Main.pdf" TargetMode="External"/><Relationship Id="rId17" Type="http://schemas.openxmlformats.org/officeDocument/2006/relationships/hyperlink" Target="https://www.gov.uk/government/uploads/system/uploads/attachment_data/file/127114/National-schedules.zip.zip" TargetMode="External"/><Relationship Id="rId33" Type="http://schemas.openxmlformats.org/officeDocument/2006/relationships/hyperlink" Target="https://www.gov.uk/government/uploads/system/uploads/attachment_data/file/127114/National-schedules.zip.zip" TargetMode="External"/><Relationship Id="rId38" Type="http://schemas.openxmlformats.org/officeDocument/2006/relationships/hyperlink" Target="http://jech.bmj.com/content/57/9/740.full.pdf+html" TargetMode="External"/><Relationship Id="rId59" Type="http://schemas.openxmlformats.org/officeDocument/2006/relationships/hyperlink" Target="http://www.kingsfund.org.uk/publications/paying_the_price.html" TargetMode="External"/><Relationship Id="rId103" Type="http://schemas.openxmlformats.org/officeDocument/2006/relationships/hyperlink" Target="https://www.gov.uk/government/uploads/system/uploads/attachment_data/file/127114/National-schedules.zip.zip" TargetMode="External"/><Relationship Id="rId108" Type="http://schemas.openxmlformats.org/officeDocument/2006/relationships/hyperlink" Target="https://www.gov.uk/government/uploads/system/uploads/attachment_data/file/127114/National-schedules.zip.zip" TargetMode="External"/><Relationship Id="rId124" Type="http://schemas.openxmlformats.org/officeDocument/2006/relationships/hyperlink" Target="http://www.pssru.ac.uk/project-pages/unit-costs/2014/index.php?file=full" TargetMode="External"/><Relationship Id="rId129" Type="http://schemas.openxmlformats.org/officeDocument/2006/relationships/hyperlink" Target="http://www.pssru.ac.uk/project-pages/unit-costs/2014/index.php?file=full" TargetMode="External"/><Relationship Id="rId54" Type="http://schemas.openxmlformats.org/officeDocument/2006/relationships/hyperlink" Target="http://www.kingsfund.org.uk/publications/paying_the_price.html" TargetMode="External"/><Relationship Id="rId70" Type="http://schemas.openxmlformats.org/officeDocument/2006/relationships/hyperlink" Target="http://www.kingsfund.org.uk/publications/paying_the_price.html" TargetMode="External"/><Relationship Id="rId75" Type="http://schemas.openxmlformats.org/officeDocument/2006/relationships/hyperlink" Target="http://www.kingsfund.org.uk/publications/paying_the_price.html" TargetMode="External"/><Relationship Id="rId91" Type="http://schemas.openxmlformats.org/officeDocument/2006/relationships/hyperlink" Target="http://www.pssru.ac.uk/project-pages/unit-costs/2013/index.php?file=full" TargetMode="External"/><Relationship Id="rId96" Type="http://schemas.openxmlformats.org/officeDocument/2006/relationships/hyperlink" Target="https://www.gov.uk/government/uploads/system/uploads/attachment_data/file/127114/National-schedules.zip.zip" TargetMode="External"/><Relationship Id="rId140" Type="http://schemas.openxmlformats.org/officeDocument/2006/relationships/hyperlink" Target="http://www.pssru.ac.uk/project-pages/unit-costs/2014/index.php?file=full" TargetMode="External"/><Relationship Id="rId145" Type="http://schemas.openxmlformats.org/officeDocument/2006/relationships/hyperlink" Target="http://www.pssru.ac.uk/project-pages/unit-costs/2014/index.php?file=full" TargetMode="External"/><Relationship Id="rId161" Type="http://schemas.openxmlformats.org/officeDocument/2006/relationships/hyperlink" Target="http://www.pssru.ac.uk/project-pages/unit-costs/2014/index.php?file=full" TargetMode="External"/><Relationship Id="rId166" Type="http://schemas.openxmlformats.org/officeDocument/2006/relationships/hyperlink" Target="http://www.pssru.ac.uk/project-pages/unit-costs/2014/index.php?file=full" TargetMode="External"/><Relationship Id="rId182" Type="http://schemas.openxmlformats.org/officeDocument/2006/relationships/hyperlink" Target="https://www.gov.uk/government/uploads/system/uploads/attachment_data/file/127114/National-schedules.zip.zip" TargetMode="External"/><Relationship Id="rId1" Type="http://schemas.openxmlformats.org/officeDocument/2006/relationships/hyperlink" Target="http://www.kingsfund.org.uk/publications/paying_the_price.html" TargetMode="External"/><Relationship Id="rId6" Type="http://schemas.openxmlformats.org/officeDocument/2006/relationships/hyperlink" Target="https://www.gov.uk/government/uploads/system/uploads/attachment_data/file/127114/National-schedules.zip.zip" TargetMode="External"/><Relationship Id="rId23" Type="http://schemas.openxmlformats.org/officeDocument/2006/relationships/hyperlink" Target="https://www.gov.uk/government/uploads/system/uploads/attachment_data/file/127114/National-schedules.zip.zip" TargetMode="External"/><Relationship Id="rId28" Type="http://schemas.openxmlformats.org/officeDocument/2006/relationships/hyperlink" Target="https://www.ndtms.net/Reports.aspx?time=U&amp;theme=u" TargetMode="External"/><Relationship Id="rId49" Type="http://schemas.openxmlformats.org/officeDocument/2006/relationships/hyperlink" Target="http://www.roycastle.org/Resources/Roy%20Castle/Documents/PDF/Microsoft%20Word%20-%20Report%20on%20variations%20in%20lung%20cancer%20_replacing%20curavtive_%20_2_.pdf" TargetMode="External"/><Relationship Id="rId114" Type="http://schemas.openxmlformats.org/officeDocument/2006/relationships/hyperlink" Target="https://www.gov.uk/government/uploads/system/uploads/attachment_data/file/127114/National-schedules.zip.zip" TargetMode="External"/><Relationship Id="rId119" Type="http://schemas.openxmlformats.org/officeDocument/2006/relationships/hyperlink" Target="https://www.gov.uk/government/uploads/system/uploads/attachment_data/file/127114/National-schedules.zip.zip" TargetMode="External"/><Relationship Id="rId44" Type="http://schemas.openxmlformats.org/officeDocument/2006/relationships/hyperlink" Target="http://www.nice.org.uk/nicemedia/live/13024/49325/49325.pdf" TargetMode="External"/><Relationship Id="rId60" Type="http://schemas.openxmlformats.org/officeDocument/2006/relationships/hyperlink" Target="http://www.kingsfund.org.uk/publications/paying_the_price.html" TargetMode="External"/><Relationship Id="rId65" Type="http://schemas.openxmlformats.org/officeDocument/2006/relationships/hyperlink" Target="http://www.kingsfund.org.uk/publications/paying_the_price.html" TargetMode="External"/><Relationship Id="rId81" Type="http://schemas.openxmlformats.org/officeDocument/2006/relationships/hyperlink" Target="https://www.gov.uk/government/uploads/system/uploads/attachment_data/file/127114/National-schedules.zip.zip" TargetMode="External"/><Relationship Id="rId86" Type="http://schemas.openxmlformats.org/officeDocument/2006/relationships/hyperlink" Target="http://www.pssru.ac.uk/project-pages/unit-costs/2013/index.php?file=full" TargetMode="External"/><Relationship Id="rId130" Type="http://schemas.openxmlformats.org/officeDocument/2006/relationships/hyperlink" Target="http://www.pssru.ac.uk/project-pages/unit-costs/2014/index.php?file=full" TargetMode="External"/><Relationship Id="rId135" Type="http://schemas.openxmlformats.org/officeDocument/2006/relationships/hyperlink" Target="http://www.pssru.ac.uk/project-pages/unit-costs/2014/index.php?file=full" TargetMode="External"/><Relationship Id="rId151" Type="http://schemas.openxmlformats.org/officeDocument/2006/relationships/hyperlink" Target="http://www.pssru.ac.uk/project-pages/unit-costs/2014/index.php?file=full" TargetMode="External"/><Relationship Id="rId156" Type="http://schemas.openxmlformats.org/officeDocument/2006/relationships/hyperlink" Target="http://www.pssru.ac.uk/project-pages/unit-costs/2014/index.php?file=full" TargetMode="External"/><Relationship Id="rId177" Type="http://schemas.openxmlformats.org/officeDocument/2006/relationships/hyperlink" Target="http://www.pssru.ac.uk/project-pages/unit-costs/2014/index.php?file=full" TargetMode="External"/><Relationship Id="rId4" Type="http://schemas.openxmlformats.org/officeDocument/2006/relationships/hyperlink" Target="http://www.nccmh.org.uk/downloads/Alcohol_dependence/CG115_Costing_report.pdf" TargetMode="External"/><Relationship Id="rId9" Type="http://schemas.openxmlformats.org/officeDocument/2006/relationships/hyperlink" Target="http://www.nta.nhs.uk/uploads/vfm2012.pdf" TargetMode="External"/><Relationship Id="rId172" Type="http://schemas.openxmlformats.org/officeDocument/2006/relationships/hyperlink" Target="http://www.pssru.ac.uk/project-pages/unit-costs/2014/index.php?file=full" TargetMode="External"/><Relationship Id="rId180" Type="http://schemas.openxmlformats.org/officeDocument/2006/relationships/hyperlink" Target="http://www.pssru.ac.uk/project-pages/unit-costs/2014/index.php?file=full" TargetMode="External"/><Relationship Id="rId13" Type="http://schemas.openxmlformats.org/officeDocument/2006/relationships/hyperlink" Target="http://www.pssru.ac.uk/archive/pdf/uc/uc2009/uc2009.pdf" TargetMode="External"/><Relationship Id="rId18" Type="http://schemas.openxmlformats.org/officeDocument/2006/relationships/hyperlink" Target="https://www.gov.uk/government/uploads/system/uploads/attachment_data/file/127114/National-schedules.zip.zip" TargetMode="External"/><Relationship Id="rId39" Type="http://schemas.openxmlformats.org/officeDocument/2006/relationships/hyperlink" Target="http://www.nice.org.uk/nicemedia/live/13024/49325/49325.pdf" TargetMode="External"/><Relationship Id="rId109" Type="http://schemas.openxmlformats.org/officeDocument/2006/relationships/hyperlink" Target="https://www.gov.uk/government/uploads/system/uploads/attachment_data/file/127114/National-schedules.zip.zip" TargetMode="External"/><Relationship Id="rId34" Type="http://schemas.openxmlformats.org/officeDocument/2006/relationships/hyperlink" Target="http://jech.bmj.com/content/57/9/740.full.pdf+html" TargetMode="External"/><Relationship Id="rId50" Type="http://schemas.openxmlformats.org/officeDocument/2006/relationships/hyperlink" Target="https://www.gov.uk/government/uploads/system/uploads/attachment_data/file/127114/National-schedules.zip.zip" TargetMode="External"/><Relationship Id="rId55" Type="http://schemas.openxmlformats.org/officeDocument/2006/relationships/hyperlink" Target="http://www.kingsfund.org.uk/publications/paying_the_price.html" TargetMode="External"/><Relationship Id="rId76" Type="http://schemas.openxmlformats.org/officeDocument/2006/relationships/hyperlink" Target="http://www.kingsfund.org.uk/publications/paying_the_price.html" TargetMode="External"/><Relationship Id="rId97" Type="http://schemas.openxmlformats.org/officeDocument/2006/relationships/hyperlink" Target="https://www.gov.uk/government/uploads/system/uploads/attachment_data/file/127114/National-schedules.zip.zip" TargetMode="External"/><Relationship Id="rId104" Type="http://schemas.openxmlformats.org/officeDocument/2006/relationships/hyperlink" Target="https://www.gov.uk/government/uploads/system/uploads/attachment_data/file/127114/National-schedules.zip.zip" TargetMode="External"/><Relationship Id="rId120" Type="http://schemas.openxmlformats.org/officeDocument/2006/relationships/hyperlink" Target="https://www.gov.uk/government/uploads/system/uploads/attachment_data/file/127114/National-schedules.zip.zip" TargetMode="External"/><Relationship Id="rId125" Type="http://schemas.openxmlformats.org/officeDocument/2006/relationships/hyperlink" Target="http://www.pssru.ac.uk/project-pages/unit-costs/2014/index.php?file=full" TargetMode="External"/><Relationship Id="rId141" Type="http://schemas.openxmlformats.org/officeDocument/2006/relationships/hyperlink" Target="http://www.pssru.ac.uk/project-pages/unit-costs/2014/index.php?file=full" TargetMode="External"/><Relationship Id="rId146" Type="http://schemas.openxmlformats.org/officeDocument/2006/relationships/hyperlink" Target="http://www.pssru.ac.uk/project-pages/unit-costs/2014/index.php?file=full" TargetMode="External"/><Relationship Id="rId167" Type="http://schemas.openxmlformats.org/officeDocument/2006/relationships/hyperlink" Target="http://www.pssru.ac.uk/project-pages/unit-costs/2014/index.php?file=full" TargetMode="External"/><Relationship Id="rId7" Type="http://schemas.openxmlformats.org/officeDocument/2006/relationships/hyperlink" Target="http://www.nta.nhs.uk/uploads/vfm2012.pdf" TargetMode="External"/><Relationship Id="rId71" Type="http://schemas.openxmlformats.org/officeDocument/2006/relationships/hyperlink" Target="http://www.kingsfund.org.uk/publications/paying_the_price.html" TargetMode="External"/><Relationship Id="rId92" Type="http://schemas.openxmlformats.org/officeDocument/2006/relationships/hyperlink" Target="http://www.pssru.ac.uk/project-pages/unit-costs/2013/index.php?file=full" TargetMode="External"/><Relationship Id="rId162" Type="http://schemas.openxmlformats.org/officeDocument/2006/relationships/hyperlink" Target="http://www.pssru.ac.uk/project-pages/unit-costs/2014/index.php?file=full" TargetMode="External"/><Relationship Id="rId183" Type="http://schemas.openxmlformats.org/officeDocument/2006/relationships/printerSettings" Target="../printerSettings/printerSettings7.bin"/><Relationship Id="rId2" Type="http://schemas.openxmlformats.org/officeDocument/2006/relationships/hyperlink" Target="http://www.nice.org.uk/nicemedia/live/13337/53190/53190.pdf" TargetMode="External"/><Relationship Id="rId29" Type="http://schemas.openxmlformats.org/officeDocument/2006/relationships/hyperlink" Target="https://www.ndtms.net/Reports.aspx?time=U&amp;theme=u" TargetMode="External"/><Relationship Id="rId24" Type="http://schemas.openxmlformats.org/officeDocument/2006/relationships/hyperlink" Target="https://www.gov.uk/government/uploads/system/uploads/attachment_data/file/127114/National-schedules.zip.zip" TargetMode="External"/><Relationship Id="rId40" Type="http://schemas.openxmlformats.org/officeDocument/2006/relationships/hyperlink" Target="http://www.nice.org.uk/nicemedia/live/13024/49325/49325.pdf" TargetMode="External"/><Relationship Id="rId45" Type="http://schemas.openxmlformats.org/officeDocument/2006/relationships/hyperlink" Target="http://webarchive.nationalarchives.gov.uk/20130107105354/http:/www.dh.gov.uk/prod_consum_dh/groups/dh_digitalassets/documents/digitalasset/dh_106379.pdf" TargetMode="External"/><Relationship Id="rId66" Type="http://schemas.openxmlformats.org/officeDocument/2006/relationships/hyperlink" Target="http://www.kingsfund.org.uk/publications/paying_the_price.html" TargetMode="External"/><Relationship Id="rId87" Type="http://schemas.openxmlformats.org/officeDocument/2006/relationships/hyperlink" Target="http://www.pssru.ac.uk/project-pages/unit-costs/2013/index.php?file=full" TargetMode="External"/><Relationship Id="rId110" Type="http://schemas.openxmlformats.org/officeDocument/2006/relationships/hyperlink" Target="https://www.gov.uk/government/uploads/system/uploads/attachment_data/file/127114/National-schedules.zip.zip" TargetMode="External"/><Relationship Id="rId115" Type="http://schemas.openxmlformats.org/officeDocument/2006/relationships/hyperlink" Target="https://www.gov.uk/government/uploads/system/uploads/attachment_data/file/127114/National-schedules.zip.zip" TargetMode="External"/><Relationship Id="rId131" Type="http://schemas.openxmlformats.org/officeDocument/2006/relationships/hyperlink" Target="http://www.pssru.ac.uk/project-pages/unit-costs/2014/index.php?file=full" TargetMode="External"/><Relationship Id="rId136" Type="http://schemas.openxmlformats.org/officeDocument/2006/relationships/hyperlink" Target="http://www.pssru.ac.uk/project-pages/unit-costs/2014/index.php?file=full" TargetMode="External"/><Relationship Id="rId157" Type="http://schemas.openxmlformats.org/officeDocument/2006/relationships/hyperlink" Target="http://www.pssru.ac.uk/project-pages/unit-costs/2014/index.php?file=full" TargetMode="External"/><Relationship Id="rId178" Type="http://schemas.openxmlformats.org/officeDocument/2006/relationships/hyperlink" Target="http://www.pssru.ac.uk/project-pages/unit-costs/2014/index.php?file=full" TargetMode="External"/><Relationship Id="rId61" Type="http://schemas.openxmlformats.org/officeDocument/2006/relationships/hyperlink" Target="http://www.kingsfund.org.uk/publications/paying_the_price.html" TargetMode="External"/><Relationship Id="rId82" Type="http://schemas.openxmlformats.org/officeDocument/2006/relationships/hyperlink" Target="https://www.gov.uk/government/uploads/system/uploads/attachment_data/file/127114/National-schedules.zip.zip" TargetMode="External"/><Relationship Id="rId152" Type="http://schemas.openxmlformats.org/officeDocument/2006/relationships/hyperlink" Target="http://www.pssru.ac.uk/project-pages/unit-costs/2014/index.php?file=full" TargetMode="External"/><Relationship Id="rId173" Type="http://schemas.openxmlformats.org/officeDocument/2006/relationships/hyperlink" Target="http://www.pssru.ac.uk/project-pages/unit-costs/2014/index.php?file=full" TargetMode="External"/><Relationship Id="rId19" Type="http://schemas.openxmlformats.org/officeDocument/2006/relationships/hyperlink" Target="https://www.gov.uk/government/uploads/system/uploads/attachment_data/file/127114/National-schedules.zip.zip" TargetMode="External"/><Relationship Id="rId14" Type="http://schemas.openxmlformats.org/officeDocument/2006/relationships/hyperlink" Target="http://www.pssru.ac.uk/project-pages/unit-costs/2012/index.php?file=full" TargetMode="External"/><Relationship Id="rId30" Type="http://schemas.openxmlformats.org/officeDocument/2006/relationships/hyperlink" Target="https://www.ndtms.net/Reports.aspx?time=U&amp;theme=u" TargetMode="External"/><Relationship Id="rId35" Type="http://schemas.openxmlformats.org/officeDocument/2006/relationships/hyperlink" Target="http://jech.bmj.com/content/57/9/740.full.pdf+html" TargetMode="External"/><Relationship Id="rId56" Type="http://schemas.openxmlformats.org/officeDocument/2006/relationships/hyperlink" Target="http://www.kingsfund.org.uk/publications/paying_the_price.html" TargetMode="External"/><Relationship Id="rId77" Type="http://schemas.openxmlformats.org/officeDocument/2006/relationships/hyperlink" Target="http://www.kingsfund.org.uk/publications/paying_the_price.html" TargetMode="External"/><Relationship Id="rId100" Type="http://schemas.openxmlformats.org/officeDocument/2006/relationships/hyperlink" Target="https://www.gov.uk/government/uploads/system/uploads/attachment_data/file/127114/National-schedules.zip.zip" TargetMode="External"/><Relationship Id="rId105" Type="http://schemas.openxmlformats.org/officeDocument/2006/relationships/hyperlink" Target="https://www.gov.uk/government/uploads/system/uploads/attachment_data/file/127114/National-schedules.zip.zip" TargetMode="External"/><Relationship Id="rId126" Type="http://schemas.openxmlformats.org/officeDocument/2006/relationships/hyperlink" Target="http://www.pssru.ac.uk/project-pages/unit-costs/2014/index.php?file=full" TargetMode="External"/><Relationship Id="rId147" Type="http://schemas.openxmlformats.org/officeDocument/2006/relationships/hyperlink" Target="http://www.pssru.ac.uk/project-pages/unit-costs/2014/index.php?file=full" TargetMode="External"/><Relationship Id="rId168" Type="http://schemas.openxmlformats.org/officeDocument/2006/relationships/hyperlink" Target="http://www.pssru.ac.uk/project-pages/unit-costs/2014/index.php?file=full" TargetMode="External"/><Relationship Id="rId8" Type="http://schemas.openxmlformats.org/officeDocument/2006/relationships/hyperlink" Target="http://www.nta.nhs.uk/uploads/vfm2012.pdf" TargetMode="External"/><Relationship Id="rId51" Type="http://schemas.openxmlformats.org/officeDocument/2006/relationships/hyperlink" Target="http://www.kingsfund.org.uk/publications/paying_the_price.html" TargetMode="External"/><Relationship Id="rId72" Type="http://schemas.openxmlformats.org/officeDocument/2006/relationships/hyperlink" Target="http://www.kingsfund.org.uk/publications/paying_the_price.html" TargetMode="External"/><Relationship Id="rId93" Type="http://schemas.openxmlformats.org/officeDocument/2006/relationships/hyperlink" Target="https://www.gov.uk/government/uploads/system/uploads/attachment_data/file/127114/National-schedules.zip.zip" TargetMode="External"/><Relationship Id="rId98" Type="http://schemas.openxmlformats.org/officeDocument/2006/relationships/hyperlink" Target="https://www.gov.uk/government/uploads/system/uploads/attachment_data/file/127114/National-schedules.zip.zip" TargetMode="External"/><Relationship Id="rId121" Type="http://schemas.openxmlformats.org/officeDocument/2006/relationships/hyperlink" Target="http://www.pssru.ac.uk/project-pages/unit-costs/2014/index.php?file=full" TargetMode="External"/><Relationship Id="rId142" Type="http://schemas.openxmlformats.org/officeDocument/2006/relationships/hyperlink" Target="http://www.pssru.ac.uk/project-pages/unit-costs/2014/index.php?file=full" TargetMode="External"/><Relationship Id="rId163" Type="http://schemas.openxmlformats.org/officeDocument/2006/relationships/hyperlink" Target="http://www.pssru.ac.uk/project-pages/unit-costs/2014/index.php?file=full" TargetMode="External"/><Relationship Id="rId3" Type="http://schemas.openxmlformats.org/officeDocument/2006/relationships/hyperlink" Target="http://www.nccmh.org.uk/downloads/Alcohol_dependence/CG115_Costing_report.pdf" TargetMode="External"/><Relationship Id="rId25" Type="http://schemas.openxmlformats.org/officeDocument/2006/relationships/hyperlink" Target="https://www.ndtms.net/Reports.aspx?time=U&amp;theme=u" TargetMode="External"/><Relationship Id="rId46" Type="http://schemas.openxmlformats.org/officeDocument/2006/relationships/hyperlink" Target="http://webarchive.nationalarchives.gov.uk/20130107105354/http:/www.dh.gov.uk/prod_consum_dh/groups/dh_digitalassets/documents/digitalasset/dh_106379.pdf" TargetMode="External"/><Relationship Id="rId67" Type="http://schemas.openxmlformats.org/officeDocument/2006/relationships/hyperlink" Target="http://www.kingsfund.org.uk/publications/paying_the_price.html" TargetMode="External"/><Relationship Id="rId116" Type="http://schemas.openxmlformats.org/officeDocument/2006/relationships/hyperlink" Target="https://www.gov.uk/government/uploads/system/uploads/attachment_data/file/127114/National-schedules.zip.zip" TargetMode="External"/><Relationship Id="rId137" Type="http://schemas.openxmlformats.org/officeDocument/2006/relationships/hyperlink" Target="http://www.pssru.ac.uk/project-pages/unit-costs/2014/index.php?file=full" TargetMode="External"/><Relationship Id="rId158" Type="http://schemas.openxmlformats.org/officeDocument/2006/relationships/hyperlink" Target="http://www.pssru.ac.uk/project-pages/unit-costs/2014/index.php?file=full" TargetMode="External"/><Relationship Id="rId20" Type="http://schemas.openxmlformats.org/officeDocument/2006/relationships/hyperlink" Target="https://www.gov.uk/government/uploads/system/uploads/attachment_data/file/127114/National-schedules.zip.zip" TargetMode="External"/><Relationship Id="rId41" Type="http://schemas.openxmlformats.org/officeDocument/2006/relationships/hyperlink" Target="http://www.nice.org.uk/nicemedia/live/13024/49325/49325.pdf" TargetMode="External"/><Relationship Id="rId62" Type="http://schemas.openxmlformats.org/officeDocument/2006/relationships/hyperlink" Target="http://www.kingsfund.org.uk/publications/paying_the_price.html" TargetMode="External"/><Relationship Id="rId83" Type="http://schemas.openxmlformats.org/officeDocument/2006/relationships/hyperlink" Target="https://www.gov.uk/government/uploads/system/uploads/attachment_data/file/127114/National-schedules.zip.zip" TargetMode="External"/><Relationship Id="rId88" Type="http://schemas.openxmlformats.org/officeDocument/2006/relationships/hyperlink" Target="http://www.pssru.ac.uk/project-pages/unit-costs/2013/index.php?file=full" TargetMode="External"/><Relationship Id="rId111" Type="http://schemas.openxmlformats.org/officeDocument/2006/relationships/hyperlink" Target="https://www.gov.uk/government/uploads/system/uploads/attachment_data/file/127114/National-schedules.zip.zip" TargetMode="External"/><Relationship Id="rId132" Type="http://schemas.openxmlformats.org/officeDocument/2006/relationships/hyperlink" Target="http://www.pssru.ac.uk/project-pages/unit-costs/2014/index.php?file=full" TargetMode="External"/><Relationship Id="rId153" Type="http://schemas.openxmlformats.org/officeDocument/2006/relationships/hyperlink" Target="http://www.pssru.ac.uk/project-pages/unit-costs/2014/index.php?file=full" TargetMode="External"/><Relationship Id="rId174" Type="http://schemas.openxmlformats.org/officeDocument/2006/relationships/hyperlink" Target="http://www.pssru.ac.uk/project-pages/unit-costs/2014/index.php?file=full" TargetMode="External"/><Relationship Id="rId179" Type="http://schemas.openxmlformats.org/officeDocument/2006/relationships/hyperlink" Target="http://www.pssru.ac.uk/project-pages/unit-costs/2014/index.php?file=full" TargetMode="External"/><Relationship Id="rId15" Type="http://schemas.openxmlformats.org/officeDocument/2006/relationships/hyperlink" Target="https://www.gov.uk/government/uploads/system/uploads/attachment_data/file/127114/National-schedules.zip.zip" TargetMode="External"/><Relationship Id="rId36" Type="http://schemas.openxmlformats.org/officeDocument/2006/relationships/hyperlink" Target="http://jech.bmj.com/content/57/9/740.full.pdf+html" TargetMode="External"/><Relationship Id="rId57" Type="http://schemas.openxmlformats.org/officeDocument/2006/relationships/hyperlink" Target="http://www.kingsfund.org.uk/publications/paying_the_price.html" TargetMode="External"/><Relationship Id="rId106" Type="http://schemas.openxmlformats.org/officeDocument/2006/relationships/hyperlink" Target="https://www.gov.uk/government/uploads/system/uploads/attachment_data/file/127114/National-schedules.zip.zip" TargetMode="External"/><Relationship Id="rId127" Type="http://schemas.openxmlformats.org/officeDocument/2006/relationships/hyperlink" Target="http://www.pssru.ac.uk/project-pages/unit-costs/2014/index.php?file=full" TargetMode="External"/><Relationship Id="rId10" Type="http://schemas.openxmlformats.org/officeDocument/2006/relationships/hyperlink" Target="http://www.nta.nhs.uk/uploads/vfm2012.pdf" TargetMode="External"/><Relationship Id="rId31" Type="http://schemas.openxmlformats.org/officeDocument/2006/relationships/hyperlink" Target="https://www.gov.uk/government/uploads/system/uploads/attachment_data/file/127114/National-schedules.zip.zip" TargetMode="External"/><Relationship Id="rId52" Type="http://schemas.openxmlformats.org/officeDocument/2006/relationships/hyperlink" Target="http://www.kingsfund.org.uk/publications/paying_the_price.html" TargetMode="External"/><Relationship Id="rId73" Type="http://schemas.openxmlformats.org/officeDocument/2006/relationships/hyperlink" Target="http://www.kingsfund.org.uk/publications/paying_the_price.html" TargetMode="External"/><Relationship Id="rId78" Type="http://schemas.openxmlformats.org/officeDocument/2006/relationships/hyperlink" Target="http://www.kingsfund.org.uk/publications/paying_the_price.html" TargetMode="External"/><Relationship Id="rId94" Type="http://schemas.openxmlformats.org/officeDocument/2006/relationships/hyperlink" Target="https://www.gov.uk/government/uploads/system/uploads/attachment_data/file/127114/National-schedules.zip.zip" TargetMode="External"/><Relationship Id="rId99" Type="http://schemas.openxmlformats.org/officeDocument/2006/relationships/hyperlink" Target="https://www.gov.uk/government/uploads/system/uploads/attachment_data/file/127114/National-schedules.zip.zip" TargetMode="External"/><Relationship Id="rId101" Type="http://schemas.openxmlformats.org/officeDocument/2006/relationships/hyperlink" Target="https://www.gov.uk/government/uploads/system/uploads/attachment_data/file/127114/National-schedules.zip.zip" TargetMode="External"/><Relationship Id="rId122" Type="http://schemas.openxmlformats.org/officeDocument/2006/relationships/hyperlink" Target="http://www.pssru.ac.uk/project-pages/unit-costs/2014/index.php?file=full" TargetMode="External"/><Relationship Id="rId143" Type="http://schemas.openxmlformats.org/officeDocument/2006/relationships/hyperlink" Target="http://www.pssru.ac.uk/project-pages/unit-costs/2014/index.php?file=full" TargetMode="External"/><Relationship Id="rId148" Type="http://schemas.openxmlformats.org/officeDocument/2006/relationships/hyperlink" Target="http://www.pssru.ac.uk/project-pages/unit-costs/2014/index.php?file=full" TargetMode="External"/><Relationship Id="rId164" Type="http://schemas.openxmlformats.org/officeDocument/2006/relationships/hyperlink" Target="http://www.pssru.ac.uk/project-pages/unit-costs/2014/index.php?file=full" TargetMode="External"/><Relationship Id="rId169" Type="http://schemas.openxmlformats.org/officeDocument/2006/relationships/hyperlink" Target="http://www.pssru.ac.uk/project-pages/unit-costs/2014/index.php?file=ful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england.shelter.org.uk/__data/assets/pdf_file/0003/415596/Immediate_costs_to_government_of_losing_a_home.pdf" TargetMode="External"/><Relationship Id="rId13" Type="http://schemas.openxmlformats.org/officeDocument/2006/relationships/hyperlink" Target="https://www.gov.uk/government/uploads/system/uploads/attachment_data/file/403885/hb-summary-nov-2014.xls" TargetMode="External"/><Relationship Id="rId18" Type="http://schemas.openxmlformats.org/officeDocument/2006/relationships/hyperlink" Target="https://www.gov.uk/government/uploads/system/uploads/attachment_data/file/403885/hb-summary-nov-2014.xls" TargetMode="External"/><Relationship Id="rId3" Type="http://schemas.openxmlformats.org/officeDocument/2006/relationships/hyperlink" Target="http://england.shelter.org.uk/__data/assets/pdf_file/0003/415596/Immediate_costs_to_government_of_losing_a_home.pdf" TargetMode="External"/><Relationship Id="rId7" Type="http://schemas.openxmlformats.org/officeDocument/2006/relationships/hyperlink" Target="http://england.shelter.org.uk/__data/assets/pdf_file/0003/415596/Immediate_costs_to_government_of_losing_a_home.pdf" TargetMode="External"/><Relationship Id="rId12" Type="http://schemas.openxmlformats.org/officeDocument/2006/relationships/hyperlink" Target="http://england.shelter.org.uk/__data/assets/pdf_file/0003/415596/Immediate_costs_to_government_of_losing_a_home.pdf" TargetMode="External"/><Relationship Id="rId17" Type="http://schemas.openxmlformats.org/officeDocument/2006/relationships/hyperlink" Target="https://www.gov.uk/government/uploads/system/uploads/attachment_data/file/7596/2200485.pdf" TargetMode="External"/><Relationship Id="rId2" Type="http://schemas.openxmlformats.org/officeDocument/2006/relationships/hyperlink" Target="http://england.shelter.org.uk/__data/assets/pdf_file/0003/415596/Immediate_costs_to_government_of_losing_a_home.pdf" TargetMode="External"/><Relationship Id="rId16" Type="http://schemas.openxmlformats.org/officeDocument/2006/relationships/hyperlink" Target="http://england.shelter.org.uk/__data/assets/pdf_file/0003/415596/Immediate_costs_to_government_of_losing_a_home.pdf" TargetMode="External"/><Relationship Id="rId1" Type="http://schemas.openxmlformats.org/officeDocument/2006/relationships/hyperlink" Target="http://england.shelter.org.uk/__data/assets/pdf_file/0003/415596/Immediate_costs_to_government_of_losing_a_home.pdf" TargetMode="External"/><Relationship Id="rId6" Type="http://schemas.openxmlformats.org/officeDocument/2006/relationships/hyperlink" Target="http://england.shelter.org.uk/__data/assets/pdf_file/0003/415596/Immediate_costs_to_government_of_losing_a_home.pdf" TargetMode="External"/><Relationship Id="rId11" Type="http://schemas.openxmlformats.org/officeDocument/2006/relationships/hyperlink" Target="http://england.shelter.org.uk/__data/assets/pdf_file/0003/415596/Immediate_costs_to_government_of_losing_a_home.pdf" TargetMode="External"/><Relationship Id="rId5" Type="http://schemas.openxmlformats.org/officeDocument/2006/relationships/hyperlink" Target="http://england.shelter.org.uk/__data/assets/pdf_file/0003/415596/Immediate_costs_to_government_of_losing_a_home.pdf" TargetMode="External"/><Relationship Id="rId15" Type="http://schemas.openxmlformats.org/officeDocument/2006/relationships/hyperlink" Target="http://england.shelter.org.uk/__data/assets/pdf_file/0003/415596/Immediate_costs_to_government_of_losing_a_home.pdf" TargetMode="External"/><Relationship Id="rId10" Type="http://schemas.openxmlformats.org/officeDocument/2006/relationships/hyperlink" Target="http://england.shelter.org.uk/__data/assets/pdf_file/0003/415596/Immediate_costs_to_government_of_losing_a_home.pdf" TargetMode="External"/><Relationship Id="rId19" Type="http://schemas.openxmlformats.org/officeDocument/2006/relationships/printerSettings" Target="../printerSettings/printerSettings8.bin"/><Relationship Id="rId4" Type="http://schemas.openxmlformats.org/officeDocument/2006/relationships/hyperlink" Target="http://england.shelter.org.uk/__data/assets/pdf_file/0003/415596/Immediate_costs_to_government_of_losing_a_home.pdf" TargetMode="External"/><Relationship Id="rId9" Type="http://schemas.openxmlformats.org/officeDocument/2006/relationships/hyperlink" Target="http://england.shelter.org.uk/__data/assets/pdf_file/0003/415596/Immediate_costs_to_government_of_losing_a_home.pdf" TargetMode="External"/><Relationship Id="rId14" Type="http://schemas.openxmlformats.org/officeDocument/2006/relationships/hyperlink" Target="http://england.shelter.org.uk/__data/assets/pdf_file/0003/415596/Immediate_costs_to_government_of_losing_a_home.pdf"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ccfcs.org.uk/Documents/Publications/LGA_final_report.pdf" TargetMode="External"/><Relationship Id="rId18" Type="http://schemas.openxmlformats.org/officeDocument/2006/relationships/hyperlink" Target="http://www.pssru.ac.uk/pdf/uc/uc2011/uc2011.pdf" TargetMode="External"/><Relationship Id="rId26" Type="http://schemas.openxmlformats.org/officeDocument/2006/relationships/hyperlink" Target="https://www.education.gov.uk/publications/eOrderingDownload/DFE-RB056.pdf" TargetMode="External"/><Relationship Id="rId39" Type="http://schemas.openxmlformats.org/officeDocument/2006/relationships/hyperlink" Target="http://www.biomedcentral.com/content/pdf/1471-2458-11-803.pdf" TargetMode="External"/><Relationship Id="rId21" Type="http://schemas.openxmlformats.org/officeDocument/2006/relationships/hyperlink" Target="http://www.essexpartnershipportal.org/pages/uploads/Essex%20Family/ECB%20DATA%20BOOK%20v5.xls" TargetMode="External"/><Relationship Id="rId34" Type="http://schemas.openxmlformats.org/officeDocument/2006/relationships/hyperlink" Target="http://www.pssru.ac.uk/pdf/uc/uc2011/uc2011.pdf" TargetMode="External"/><Relationship Id="rId42" Type="http://schemas.openxmlformats.org/officeDocument/2006/relationships/hyperlink" Target="http://www.pssru.ac.uk/project-pages/unit-costs/2013/index.php?file=full" TargetMode="External"/><Relationship Id="rId47" Type="http://schemas.openxmlformats.org/officeDocument/2006/relationships/hyperlink" Target="http://www.hscic.gov.uk/catalogue/PUB16111/pss-exp-eng-13-14-fin-coun-lev-unit-cost.xlsx" TargetMode="External"/><Relationship Id="rId50" Type="http://schemas.openxmlformats.org/officeDocument/2006/relationships/hyperlink" Target="http://www.hscic.gov.uk/catalogue/PUB16111/pss-exp-eng-13-14-fin-coun-lev-unit-cost.xlsx" TargetMode="External"/><Relationship Id="rId55" Type="http://schemas.openxmlformats.org/officeDocument/2006/relationships/hyperlink" Target="http://www.hscic.gov.uk/catalogue/PUB16111/pss-exp-eng-13-14-fin-coun-lev-unit-cost.xlsx" TargetMode="External"/><Relationship Id="rId63" Type="http://schemas.openxmlformats.org/officeDocument/2006/relationships/hyperlink" Target="http://www.pssru.ac.uk/project-pages/unit-costs/2014/index.php?file=full" TargetMode="External"/><Relationship Id="rId68" Type="http://schemas.openxmlformats.org/officeDocument/2006/relationships/hyperlink" Target="http://www.pssru.ac.uk/project-pages/unit-costs/2014/index.php?file=full" TargetMode="External"/><Relationship Id="rId76" Type="http://schemas.openxmlformats.org/officeDocument/2006/relationships/hyperlink" Target="http://www.pssru.ac.uk/project-pages/unit-costs/2014/index.php?file=full" TargetMode="External"/><Relationship Id="rId84" Type="http://schemas.openxmlformats.org/officeDocument/2006/relationships/hyperlink" Target="http://www.pssru.ac.uk/project-pages/unit-costs/2014/index.php?file=full" TargetMode="External"/><Relationship Id="rId89" Type="http://schemas.openxmlformats.org/officeDocument/2006/relationships/hyperlink" Target="http://www.pssru.ac.uk/project-pages/unit-costs/2014/index.php?file=full" TargetMode="External"/><Relationship Id="rId7" Type="http://schemas.openxmlformats.org/officeDocument/2006/relationships/hyperlink" Target="http://www.familieslink.co.uk/download/june07/Review%20of%20child%20care.pdf" TargetMode="External"/><Relationship Id="rId71" Type="http://schemas.openxmlformats.org/officeDocument/2006/relationships/hyperlink" Target="http://www.pssru.ac.uk/project-pages/unit-costs/2014/index.php?file=full" TargetMode="External"/><Relationship Id="rId92" Type="http://schemas.openxmlformats.org/officeDocument/2006/relationships/hyperlink" Target="https://www.gov.uk/government/uploads/system/uploads/attachment_data/file/147343/dh_126386.pdf.pdf" TargetMode="External"/><Relationship Id="rId2" Type="http://schemas.openxmlformats.org/officeDocument/2006/relationships/hyperlink" Target="http://webarchive.nationalarchives.gov.uk/20100202100450/http:/www.dcsf.gov.uk/everychildmatters/_download/?id=3150" TargetMode="External"/><Relationship Id="rId16" Type="http://schemas.openxmlformats.org/officeDocument/2006/relationships/hyperlink" Target="http://www.demos.co.uk/files/In_Loco_Parentis_-_web.pdf?1277484312" TargetMode="External"/><Relationship Id="rId29" Type="http://schemas.openxmlformats.org/officeDocument/2006/relationships/hyperlink" Target="https://www.education.gov.uk/publications/eOrderingDownload/DFE-RB056.pdf" TargetMode="External"/><Relationship Id="rId11" Type="http://schemas.openxmlformats.org/officeDocument/2006/relationships/hyperlink" Target="http://www.pssru.ac.uk/pdf/uc/uc2011/uc2011.pdf" TargetMode="External"/><Relationship Id="rId24" Type="http://schemas.openxmlformats.org/officeDocument/2006/relationships/hyperlink" Target="http://www.pssru.ac.uk/pdf/uc/uc2011/uc2011.pdf" TargetMode="External"/><Relationship Id="rId32" Type="http://schemas.openxmlformats.org/officeDocument/2006/relationships/hyperlink" Target="https://www.education.gov.uk/publications/eOrderingDownload/DFE-RB056.pdf" TargetMode="External"/><Relationship Id="rId37" Type="http://schemas.openxmlformats.org/officeDocument/2006/relationships/hyperlink" Target="http://www.pssru.ac.uk/pdf/uc/uc2011/uc2011.pdf" TargetMode="External"/><Relationship Id="rId40" Type="http://schemas.openxmlformats.org/officeDocument/2006/relationships/hyperlink" Target="https://www.gov.uk/government/uploads/system/uploads/attachment_data/file/147343/dh_126386.pdf.pdf" TargetMode="External"/><Relationship Id="rId45" Type="http://schemas.openxmlformats.org/officeDocument/2006/relationships/hyperlink" Target="http://www.nhs.uk/chq/Pages/what-is-nhs-funded-nursing-care.aspx" TargetMode="External"/><Relationship Id="rId53" Type="http://schemas.openxmlformats.org/officeDocument/2006/relationships/hyperlink" Target="http://www.hscic.gov.uk/catalogue/PUB16111/pss-exp-eng-13-14-fin-coun-lev-unit-cost.xlsx" TargetMode="External"/><Relationship Id="rId58" Type="http://schemas.openxmlformats.org/officeDocument/2006/relationships/hyperlink" Target="http://www.pssru.ac.uk/project-pages/unit-costs/2014/index.php?file=full" TargetMode="External"/><Relationship Id="rId66" Type="http://schemas.openxmlformats.org/officeDocument/2006/relationships/hyperlink" Target="http://www.pssru.ac.uk/project-pages/unit-costs/2014/index.php?file=full" TargetMode="External"/><Relationship Id="rId74" Type="http://schemas.openxmlformats.org/officeDocument/2006/relationships/hyperlink" Target="http://www.pssru.ac.uk/project-pages/unit-costs/2014/index.php?file=full" TargetMode="External"/><Relationship Id="rId79" Type="http://schemas.openxmlformats.org/officeDocument/2006/relationships/hyperlink" Target="http://www.pssru.ac.uk/project-pages/unit-costs/2014/index.php?file=full" TargetMode="External"/><Relationship Id="rId87" Type="http://schemas.openxmlformats.org/officeDocument/2006/relationships/hyperlink" Target="http://www.pssru.ac.uk/project-pages/unit-costs/2014/index.php?file=full" TargetMode="External"/><Relationship Id="rId5" Type="http://schemas.openxmlformats.org/officeDocument/2006/relationships/hyperlink" Target="http://www.familieslink.co.uk/download/june07/Review%20of%20child%20care.pdf" TargetMode="External"/><Relationship Id="rId61" Type="http://schemas.openxmlformats.org/officeDocument/2006/relationships/hyperlink" Target="http://www.pssru.ac.uk/project-pages/unit-costs/2014/index.php?file=full" TargetMode="External"/><Relationship Id="rId82" Type="http://schemas.openxmlformats.org/officeDocument/2006/relationships/hyperlink" Target="http://www.pssru.ac.uk/project-pages/unit-costs/2014/index.php?file=full" TargetMode="External"/><Relationship Id="rId90" Type="http://schemas.openxmlformats.org/officeDocument/2006/relationships/hyperlink" Target="http://www.pssru.ac.uk/project-pages/unit-costs/2014/index.php?file=full" TargetMode="External"/><Relationship Id="rId95" Type="http://schemas.openxmlformats.org/officeDocument/2006/relationships/hyperlink" Target="https://www.gov.uk/government/uploads/system/uploads/attachment_data/file/147343/dh_126386.pdf.pdf" TargetMode="External"/><Relationship Id="rId19" Type="http://schemas.openxmlformats.org/officeDocument/2006/relationships/hyperlink" Target="http://www.pssru.ac.uk/pdf/uc/uc2011/uc2011.pdf" TargetMode="External"/><Relationship Id="rId14" Type="http://schemas.openxmlformats.org/officeDocument/2006/relationships/hyperlink" Target="http://www.demos.co.uk/files/In_Loco_Parentis_-_web.pdf?1277484312" TargetMode="External"/><Relationship Id="rId22" Type="http://schemas.openxmlformats.org/officeDocument/2006/relationships/hyperlink" Target="http://www.biomedcentral.com/content/pdf/1471-2458-11-803.pdf" TargetMode="External"/><Relationship Id="rId27" Type="http://schemas.openxmlformats.org/officeDocument/2006/relationships/hyperlink" Target="https://www.education.gov.uk/publications/eOrderingDownload/DFE-RB056.pdf" TargetMode="External"/><Relationship Id="rId30" Type="http://schemas.openxmlformats.org/officeDocument/2006/relationships/hyperlink" Target="https://www.education.gov.uk/publications/eOrderingDownload/DFE-RB056.pdf" TargetMode="External"/><Relationship Id="rId35" Type="http://schemas.openxmlformats.org/officeDocument/2006/relationships/hyperlink" Target="http://www.pssru.ac.uk/pdf/uc/uc2011/uc2011.pdf" TargetMode="External"/><Relationship Id="rId43" Type="http://schemas.openxmlformats.org/officeDocument/2006/relationships/hyperlink" Target="http://www.pssru.ac.uk/pdf/uc/uc2011/uc2011.pdf" TargetMode="External"/><Relationship Id="rId48" Type="http://schemas.openxmlformats.org/officeDocument/2006/relationships/hyperlink" Target="http://www.hscic.gov.uk/catalogue/PUB16111/pss-exp-eng-13-14-fin-coun-lev-unit-cost.xlsx" TargetMode="External"/><Relationship Id="rId56" Type="http://schemas.openxmlformats.org/officeDocument/2006/relationships/hyperlink" Target="http://www.hscic.gov.uk/catalogue/PUB16111/pss-exp-eng-13-14-fin-coun-lev-unit-cost.xlsx" TargetMode="External"/><Relationship Id="rId64" Type="http://schemas.openxmlformats.org/officeDocument/2006/relationships/hyperlink" Target="http://www.pssru.ac.uk/project-pages/unit-costs/2014/index.php?file=full" TargetMode="External"/><Relationship Id="rId69" Type="http://schemas.openxmlformats.org/officeDocument/2006/relationships/hyperlink" Target="http://www.pssru.ac.uk/project-pages/unit-costs/2014/index.php?file=full" TargetMode="External"/><Relationship Id="rId77" Type="http://schemas.openxmlformats.org/officeDocument/2006/relationships/hyperlink" Target="http://www.pssru.ac.uk/project-pages/unit-costs/2014/index.php?file=full" TargetMode="External"/><Relationship Id="rId8" Type="http://schemas.openxmlformats.org/officeDocument/2006/relationships/hyperlink" Target="http://www.familieslink.co.uk/download/june07/Review%20of%20child%20care.pdf" TargetMode="External"/><Relationship Id="rId51" Type="http://schemas.openxmlformats.org/officeDocument/2006/relationships/hyperlink" Target="http://www.hscic.gov.uk/catalogue/PUB16111/pss-exp-eng-13-14-fin-coun-lev-unit-cost.xlsx" TargetMode="External"/><Relationship Id="rId72" Type="http://schemas.openxmlformats.org/officeDocument/2006/relationships/hyperlink" Target="http://www.pssru.ac.uk/project-pages/unit-costs/2014/index.php?file=full" TargetMode="External"/><Relationship Id="rId80" Type="http://schemas.openxmlformats.org/officeDocument/2006/relationships/hyperlink" Target="http://www.pssru.ac.uk/project-pages/unit-costs/2014/index.php?file=full" TargetMode="External"/><Relationship Id="rId85" Type="http://schemas.openxmlformats.org/officeDocument/2006/relationships/hyperlink" Target="http://www.pssru.ac.uk/project-pages/unit-costs/2014/index.php?file=full" TargetMode="External"/><Relationship Id="rId93" Type="http://schemas.openxmlformats.org/officeDocument/2006/relationships/hyperlink" Target="https://www.gov.uk/government/uploads/system/uploads/attachment_data/file/147343/dh_126386.pdf.pdf" TargetMode="External"/><Relationship Id="rId3" Type="http://schemas.openxmlformats.org/officeDocument/2006/relationships/hyperlink" Target="http://webarchive.nationalarchives.gov.uk/20100202100450/http:/www.dcsf.gov.uk/everychildmatters/_download/?id=3150" TargetMode="External"/><Relationship Id="rId12" Type="http://schemas.openxmlformats.org/officeDocument/2006/relationships/hyperlink" Target="http://www.pssru.ac.uk/pdf/uc/uc2011/uc2011.pdf" TargetMode="External"/><Relationship Id="rId17" Type="http://schemas.openxmlformats.org/officeDocument/2006/relationships/hyperlink" Target="http://www.pssru.ac.uk/pdf/uc/uc2011/uc2011.pdf" TargetMode="External"/><Relationship Id="rId25" Type="http://schemas.openxmlformats.org/officeDocument/2006/relationships/hyperlink" Target="https://www.education.gov.uk/publications/eOrderingDownload/DFE-RB056.pdf" TargetMode="External"/><Relationship Id="rId33" Type="http://schemas.openxmlformats.org/officeDocument/2006/relationships/hyperlink" Target="http://www.pssru.ac.uk/pdf/uc/uc2011/uc2011.pdf" TargetMode="External"/><Relationship Id="rId38" Type="http://schemas.openxmlformats.org/officeDocument/2006/relationships/hyperlink" Target="http://www.hscic.gov.uk/catalogue/PUB16111/pss-exp-eng-13-14-fin-coun-lev-unit-cost.xlsx" TargetMode="External"/><Relationship Id="rId46" Type="http://schemas.openxmlformats.org/officeDocument/2006/relationships/hyperlink" Target="http://www.hscic.gov.uk/catalogue/PUB16111/pss-exp-eng-13-14-fin-coun-lev-unit-cost.xlsx" TargetMode="External"/><Relationship Id="rId59" Type="http://schemas.openxmlformats.org/officeDocument/2006/relationships/hyperlink" Target="http://www.pssru.ac.uk/project-pages/unit-costs/2014/index.php?file=full" TargetMode="External"/><Relationship Id="rId67" Type="http://schemas.openxmlformats.org/officeDocument/2006/relationships/hyperlink" Target="http://www.pssru.ac.uk/project-pages/unit-costs/2014/index.php?file=full" TargetMode="External"/><Relationship Id="rId20" Type="http://schemas.openxmlformats.org/officeDocument/2006/relationships/hyperlink" Target="http://www.lboro.ac.uk/research/ccfr/Publications/update_cost_foster_care.pdf" TargetMode="External"/><Relationship Id="rId41" Type="http://schemas.openxmlformats.org/officeDocument/2006/relationships/hyperlink" Target="http://www.pssru.ac.uk/project-pages/unit-costs/2014/index.php?file=full" TargetMode="External"/><Relationship Id="rId54" Type="http://schemas.openxmlformats.org/officeDocument/2006/relationships/hyperlink" Target="http://www.hscic.gov.uk/catalogue/PUB16111/pss-exp-eng-13-14-fin-coun-lev-unit-cost.xlsx" TargetMode="External"/><Relationship Id="rId62" Type="http://schemas.openxmlformats.org/officeDocument/2006/relationships/hyperlink" Target="http://www.pssru.ac.uk/project-pages/unit-costs/2014/index.php?file=full" TargetMode="External"/><Relationship Id="rId70" Type="http://schemas.openxmlformats.org/officeDocument/2006/relationships/hyperlink" Target="http://www.pssru.ac.uk/project-pages/unit-costs/2014/index.php?file=full" TargetMode="External"/><Relationship Id="rId75" Type="http://schemas.openxmlformats.org/officeDocument/2006/relationships/hyperlink" Target="http://www.pssru.ac.uk/project-pages/unit-costs/2014/index.php?file=full" TargetMode="External"/><Relationship Id="rId83" Type="http://schemas.openxmlformats.org/officeDocument/2006/relationships/hyperlink" Target="http://www.pssru.ac.uk/project-pages/unit-costs/2014/index.php?file=full" TargetMode="External"/><Relationship Id="rId88" Type="http://schemas.openxmlformats.org/officeDocument/2006/relationships/hyperlink" Target="http://www.pssru.ac.uk/project-pages/unit-costs/2014/index.php?file=full" TargetMode="External"/><Relationship Id="rId91" Type="http://schemas.openxmlformats.org/officeDocument/2006/relationships/hyperlink" Target="https://www.gov.uk/government/uploads/system/uploads/attachment_data/file/147343/dh_126386.pdf.pdf" TargetMode="External"/><Relationship Id="rId96" Type="http://schemas.openxmlformats.org/officeDocument/2006/relationships/printerSettings" Target="../printerSettings/printerSettings9.bin"/><Relationship Id="rId1" Type="http://schemas.openxmlformats.org/officeDocument/2006/relationships/hyperlink" Target="https://www.education.gov.uk/publications/eOrderingDownload/DFE-RR210.pdf" TargetMode="External"/><Relationship Id="rId6" Type="http://schemas.openxmlformats.org/officeDocument/2006/relationships/hyperlink" Target="http://www.familieslink.co.uk/download/june07/Review%20of%20child%20care.pdf" TargetMode="External"/><Relationship Id="rId15" Type="http://schemas.openxmlformats.org/officeDocument/2006/relationships/hyperlink" Target="http://www.demos.co.uk/files/In_Loco_Parentis_-_web.pdf?1277484312" TargetMode="External"/><Relationship Id="rId23" Type="http://schemas.openxmlformats.org/officeDocument/2006/relationships/hyperlink" Target="http://www.pssru.ac.uk/pdf/uc/uc2011/uc2011.pdf" TargetMode="External"/><Relationship Id="rId28" Type="http://schemas.openxmlformats.org/officeDocument/2006/relationships/hyperlink" Target="https://www.education.gov.uk/publications/eOrderingDownload/DFE-RB056.pdf" TargetMode="External"/><Relationship Id="rId36" Type="http://schemas.openxmlformats.org/officeDocument/2006/relationships/hyperlink" Target="http://www.pssru.ac.uk/pdf/uc/uc2011/uc2011.pdf" TargetMode="External"/><Relationship Id="rId49" Type="http://schemas.openxmlformats.org/officeDocument/2006/relationships/hyperlink" Target="http://www.hscic.gov.uk/catalogue/PUB16111/pss-exp-eng-13-14-fin-coun-lev-unit-cost.xlsx" TargetMode="External"/><Relationship Id="rId57" Type="http://schemas.openxmlformats.org/officeDocument/2006/relationships/hyperlink" Target="http://www.hscic.gov.uk/catalogue/PUB16111/pss-exp-eng-13-14-fin-coun-lev-unit-cost.xlsx" TargetMode="External"/><Relationship Id="rId10" Type="http://schemas.openxmlformats.org/officeDocument/2006/relationships/hyperlink" Target="http://www.pssru.ac.uk/pdf/uc/uc2011/uc2011.pdf" TargetMode="External"/><Relationship Id="rId31" Type="http://schemas.openxmlformats.org/officeDocument/2006/relationships/hyperlink" Target="https://www.education.gov.uk/publications/eOrderingDownload/DFE-RB056.pdf" TargetMode="External"/><Relationship Id="rId44" Type="http://schemas.openxmlformats.org/officeDocument/2006/relationships/hyperlink" Target="https://www.gov.uk/government/uploads/system/uploads/attachment_data/file/387935/S251_outturn_2013_to_2014_individual_LA_expenditure_data.xlsm" TargetMode="External"/><Relationship Id="rId52" Type="http://schemas.openxmlformats.org/officeDocument/2006/relationships/hyperlink" Target="http://www.hscic.gov.uk/catalogue/PUB16111/pss-exp-eng-13-14-fin-coun-lev-unit-cost.xlsx" TargetMode="External"/><Relationship Id="rId60" Type="http://schemas.openxmlformats.org/officeDocument/2006/relationships/hyperlink" Target="http://www.pssru.ac.uk/project-pages/unit-costs/2014/index.php?file=full" TargetMode="External"/><Relationship Id="rId65" Type="http://schemas.openxmlformats.org/officeDocument/2006/relationships/hyperlink" Target="http://www.pssru.ac.uk/project-pages/unit-costs/2014/index.php?file=full" TargetMode="External"/><Relationship Id="rId73" Type="http://schemas.openxmlformats.org/officeDocument/2006/relationships/hyperlink" Target="http://www.pssru.ac.uk/project-pages/unit-costs/2014/index.php?file=full" TargetMode="External"/><Relationship Id="rId78" Type="http://schemas.openxmlformats.org/officeDocument/2006/relationships/hyperlink" Target="http://www.pssru.ac.uk/project-pages/unit-costs/2014/index.php?file=full" TargetMode="External"/><Relationship Id="rId81" Type="http://schemas.openxmlformats.org/officeDocument/2006/relationships/hyperlink" Target="http://www.pssru.ac.uk/project-pages/unit-costs/2014/index.php?file=full" TargetMode="External"/><Relationship Id="rId86" Type="http://schemas.openxmlformats.org/officeDocument/2006/relationships/hyperlink" Target="http://www.pssru.ac.uk/project-pages/unit-costs/2014/index.php?file=full" TargetMode="External"/><Relationship Id="rId94" Type="http://schemas.openxmlformats.org/officeDocument/2006/relationships/hyperlink" Target="https://www.gov.uk/government/uploads/system/uploads/attachment_data/file/147343/dh_126386.pdf.pdf" TargetMode="External"/><Relationship Id="rId4" Type="http://schemas.openxmlformats.org/officeDocument/2006/relationships/hyperlink" Target="http://webarchive.nationalarchives.gov.uk/20100202100450/http:/www.dcsf.gov.uk/everychildmatters/_download/?id=3150" TargetMode="External"/><Relationship Id="rId9" Type="http://schemas.openxmlformats.org/officeDocument/2006/relationships/hyperlink" Target="http://www.familieslink.co.uk/download/june07/Review%20of%20child%20ca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J24"/>
  <sheetViews>
    <sheetView showGridLines="0" showRowColHeaders="0" tabSelected="1" zoomScale="90" zoomScaleNormal="90" workbookViewId="0"/>
  </sheetViews>
  <sheetFormatPr defaultRowHeight="14.25" x14ac:dyDescent="0.2"/>
  <cols>
    <col min="1" max="1" width="1.25" customWidth="1"/>
    <col min="2" max="2" width="1" customWidth="1"/>
    <col min="3" max="3" width="21.625" customWidth="1"/>
    <col min="4" max="4" width="98.5" customWidth="1"/>
    <col min="5" max="5" width="42.125" customWidth="1"/>
    <col min="6" max="6" width="1" customWidth="1"/>
  </cols>
  <sheetData>
    <row r="1" spans="2:10" ht="7.5" customHeight="1" thickBot="1" x14ac:dyDescent="0.25">
      <c r="C1" s="25"/>
      <c r="D1" s="25"/>
      <c r="E1" s="25"/>
    </row>
    <row r="2" spans="2:10" ht="30.75" thickTop="1" x14ac:dyDescent="0.4">
      <c r="B2" s="20"/>
      <c r="C2" s="166" t="s">
        <v>387</v>
      </c>
      <c r="D2" s="167"/>
      <c r="E2" s="167"/>
      <c r="F2" s="49"/>
    </row>
    <row r="3" spans="2:10" ht="9.75" customHeight="1" x14ac:dyDescent="0.2">
      <c r="B3" s="22"/>
      <c r="C3" s="26"/>
      <c r="D3" s="26"/>
      <c r="E3" s="26"/>
      <c r="F3" s="21"/>
    </row>
    <row r="4" spans="2:10" ht="54.75" customHeight="1" x14ac:dyDescent="0.2">
      <c r="B4" s="22"/>
      <c r="C4" s="168" t="s">
        <v>44</v>
      </c>
      <c r="D4" s="168"/>
      <c r="E4" s="169"/>
      <c r="F4" s="21"/>
    </row>
    <row r="5" spans="2:10" ht="10.5" customHeight="1" x14ac:dyDescent="0.2">
      <c r="B5" s="22"/>
      <c r="C5" s="99"/>
      <c r="D5" s="99"/>
      <c r="E5" s="99"/>
      <c r="F5" s="21"/>
    </row>
    <row r="6" spans="2:10" ht="78" customHeight="1" x14ac:dyDescent="0.25">
      <c r="B6" s="22"/>
      <c r="C6" s="1" t="s">
        <v>31</v>
      </c>
      <c r="D6" s="170"/>
      <c r="E6" s="171"/>
      <c r="F6" s="21"/>
    </row>
    <row r="7" spans="2:10" ht="10.5" customHeight="1" x14ac:dyDescent="0.2">
      <c r="B7" s="22"/>
      <c r="C7" s="26"/>
      <c r="D7" s="26"/>
      <c r="E7" s="26"/>
      <c r="F7" s="21"/>
    </row>
    <row r="8" spans="2:10" ht="91.5" customHeight="1" x14ac:dyDescent="0.25">
      <c r="B8" s="22"/>
      <c r="C8" s="1" t="s">
        <v>32</v>
      </c>
      <c r="D8" s="170"/>
      <c r="E8" s="171"/>
      <c r="F8" s="21"/>
    </row>
    <row r="9" spans="2:10" ht="11.1" customHeight="1" x14ac:dyDescent="0.25">
      <c r="B9" s="22"/>
      <c r="C9" s="2"/>
      <c r="D9" s="26"/>
      <c r="E9" s="26"/>
      <c r="F9" s="21"/>
    </row>
    <row r="10" spans="2:10" ht="18" customHeight="1" x14ac:dyDescent="0.25">
      <c r="B10" s="22"/>
      <c r="C10" s="1" t="s">
        <v>391</v>
      </c>
      <c r="D10" s="161"/>
      <c r="E10" s="162"/>
      <c r="F10" s="21"/>
    </row>
    <row r="11" spans="2:10" s="123" customFormat="1" ht="17.25" customHeight="1" x14ac:dyDescent="0.25">
      <c r="B11" s="121"/>
      <c r="C11" s="172" t="s">
        <v>388</v>
      </c>
      <c r="D11" s="173"/>
      <c r="E11" s="173"/>
      <c r="F11" s="122"/>
    </row>
    <row r="12" spans="2:10" ht="10.5" customHeight="1" x14ac:dyDescent="0.25">
      <c r="B12" s="22"/>
      <c r="C12" s="2"/>
      <c r="D12" s="114"/>
      <c r="E12" s="114"/>
      <c r="F12" s="21"/>
    </row>
    <row r="13" spans="2:10" ht="37.5" customHeight="1" x14ac:dyDescent="0.25">
      <c r="B13" s="22"/>
      <c r="C13" s="1" t="s">
        <v>106</v>
      </c>
      <c r="D13" s="161"/>
      <c r="E13" s="162"/>
      <c r="F13" s="21"/>
    </row>
    <row r="14" spans="2:10" ht="10.5" customHeight="1" x14ac:dyDescent="0.25">
      <c r="B14" s="22"/>
      <c r="C14" s="1"/>
      <c r="D14" s="161"/>
      <c r="E14" s="162"/>
      <c r="F14" s="21"/>
    </row>
    <row r="15" spans="2:10" ht="35.25" customHeight="1" x14ac:dyDescent="0.25">
      <c r="B15" s="22"/>
      <c r="C15" s="1" t="s">
        <v>107</v>
      </c>
      <c r="D15" s="161"/>
      <c r="E15" s="162"/>
      <c r="F15" s="21"/>
    </row>
    <row r="16" spans="2:10" ht="10.5" customHeight="1" x14ac:dyDescent="0.2">
      <c r="B16" s="22"/>
      <c r="C16" s="26"/>
      <c r="D16" s="26"/>
      <c r="E16" s="26"/>
      <c r="F16" s="21"/>
      <c r="J16" s="18"/>
    </row>
    <row r="17" spans="2:10" ht="20.25" customHeight="1" x14ac:dyDescent="0.3">
      <c r="B17" s="22"/>
      <c r="C17" s="26"/>
      <c r="D17" s="98" t="s">
        <v>1446</v>
      </c>
      <c r="E17" s="163" t="s">
        <v>1906</v>
      </c>
      <c r="F17" s="21"/>
    </row>
    <row r="18" spans="2:10" ht="10.5" customHeight="1" x14ac:dyDescent="0.2">
      <c r="B18" s="22"/>
      <c r="C18" s="26"/>
      <c r="D18" s="26"/>
      <c r="E18" s="164"/>
      <c r="F18" s="21"/>
      <c r="I18" s="18"/>
      <c r="J18" s="18"/>
    </row>
    <row r="19" spans="2:10" ht="18" x14ac:dyDescent="0.25">
      <c r="B19" s="22"/>
      <c r="C19" s="26"/>
      <c r="D19" s="27" t="s">
        <v>392</v>
      </c>
      <c r="E19" s="164"/>
      <c r="F19" s="21"/>
    </row>
    <row r="20" spans="2:10" ht="18" x14ac:dyDescent="0.25">
      <c r="B20" s="22"/>
      <c r="C20" s="26"/>
      <c r="D20" s="27" t="s">
        <v>393</v>
      </c>
      <c r="E20" s="165"/>
      <c r="F20" s="21"/>
    </row>
    <row r="21" spans="2:10" ht="18" x14ac:dyDescent="0.25">
      <c r="B21" s="22"/>
      <c r="C21" s="26"/>
      <c r="D21" s="27" t="s">
        <v>394</v>
      </c>
      <c r="E21" s="27"/>
      <c r="F21" s="21"/>
    </row>
    <row r="22" spans="2:10" ht="18" customHeight="1" x14ac:dyDescent="0.25">
      <c r="B22" s="22"/>
      <c r="C22" s="26"/>
      <c r="D22" s="27" t="s">
        <v>395</v>
      </c>
      <c r="E22" s="28"/>
      <c r="F22" s="21"/>
    </row>
    <row r="23" spans="2:10" ht="36" customHeight="1" thickBot="1" x14ac:dyDescent="0.25">
      <c r="B23" s="23"/>
      <c r="C23" s="29"/>
      <c r="D23" s="29"/>
      <c r="E23" s="29"/>
      <c r="F23" s="24"/>
    </row>
    <row r="24" spans="2:10" ht="15" thickTop="1" x14ac:dyDescent="0.2"/>
  </sheetData>
  <mergeCells count="10">
    <mergeCell ref="C13:E13"/>
    <mergeCell ref="E17:E20"/>
    <mergeCell ref="C2:E2"/>
    <mergeCell ref="C4:E4"/>
    <mergeCell ref="C6:E6"/>
    <mergeCell ref="C8:E8"/>
    <mergeCell ref="C10:E10"/>
    <mergeCell ref="C11:E11"/>
    <mergeCell ref="C15:E15"/>
    <mergeCell ref="C14:E14"/>
  </mergeCells>
  <phoneticPr fontId="5" type="noConversion"/>
  <hyperlinks>
    <hyperlink ref="D17" r:id="rId1"/>
    <hyperlink ref="C11" r:id="rId2"/>
  </hyperlinks>
  <pageMargins left="0.7" right="0.7" top="0.75" bottom="0.75" header="0.3" footer="0.3"/>
  <pageSetup paperSize="8"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9900"/>
  </sheetPr>
  <dimension ref="B1:V85"/>
  <sheetViews>
    <sheetView showGridLines="0" showRowColHeaders="0" zoomScale="80" zoomScaleNormal="80" workbookViewId="0"/>
  </sheetViews>
  <sheetFormatPr defaultRowHeight="14.25" x14ac:dyDescent="0.2"/>
  <cols>
    <col min="1" max="1" width="1.625" style="5" customWidth="1"/>
    <col min="2" max="2" width="24.625" style="5" bestFit="1" customWidth="1"/>
    <col min="3" max="3" width="1.875" customWidth="1"/>
    <col min="4" max="4" width="31.75" style="5" customWidth="1"/>
    <col min="5" max="5" width="1.625" style="5" customWidth="1"/>
    <col min="6" max="6" width="21.875" style="5" customWidth="1"/>
    <col min="7" max="7" width="36.125" style="5" customWidth="1"/>
    <col min="8" max="8" width="1.625" style="5" customWidth="1"/>
    <col min="9" max="9" width="28.625" style="5" customWidth="1"/>
    <col min="10" max="10" width="1.625" style="5" customWidth="1"/>
    <col min="11" max="11" width="7.75" style="5" customWidth="1"/>
    <col min="12" max="12" width="1.375" style="5" customWidth="1"/>
    <col min="13" max="13" width="10.125" style="5" customWidth="1"/>
    <col min="14" max="16" width="13.875" style="5" customWidth="1"/>
    <col min="17" max="17" width="0.875" style="5" customWidth="1"/>
    <col min="18" max="18" width="13.875" style="5" customWidth="1"/>
    <col min="19" max="19" width="1.5" style="5" customWidth="1"/>
    <col min="20" max="20" width="22.125" style="5" customWidth="1"/>
    <col min="21" max="21" width="1.625" style="5" customWidth="1"/>
    <col min="22" max="22" width="18.875" style="5" customWidth="1"/>
    <col min="23" max="16384" width="9" style="5"/>
  </cols>
  <sheetData>
    <row r="1" spans="2:22" ht="15" thickBot="1" x14ac:dyDescent="0.25">
      <c r="K1" s="6"/>
      <c r="L1" s="6"/>
      <c r="M1" s="6"/>
      <c r="N1" s="6"/>
      <c r="O1" s="7"/>
      <c r="P1" s="6"/>
      <c r="Q1" s="6"/>
      <c r="R1" s="6"/>
      <c r="S1" s="6"/>
      <c r="T1" s="6"/>
      <c r="U1" s="6"/>
    </row>
    <row r="2" spans="2:22" ht="30.75" thickTop="1" x14ac:dyDescent="0.2">
      <c r="B2" s="192" t="s">
        <v>1423</v>
      </c>
      <c r="C2" s="193"/>
      <c r="D2" s="193"/>
      <c r="E2" s="193"/>
      <c r="F2" s="194"/>
      <c r="G2" s="195"/>
      <c r="K2" s="6"/>
      <c r="L2" s="6"/>
      <c r="N2" s="6"/>
      <c r="O2" s="7"/>
      <c r="P2" s="6"/>
      <c r="Q2" s="6"/>
      <c r="R2" s="6"/>
      <c r="S2" s="6"/>
      <c r="T2" s="6"/>
      <c r="U2" s="6"/>
    </row>
    <row r="3" spans="2:22" ht="9" customHeight="1" x14ac:dyDescent="0.2">
      <c r="B3" s="34"/>
      <c r="C3" s="33"/>
      <c r="D3" s="33"/>
      <c r="E3" s="33"/>
      <c r="F3" s="39"/>
      <c r="G3" s="35"/>
      <c r="K3" s="6"/>
      <c r="L3" s="6"/>
      <c r="M3" s="6"/>
      <c r="N3" s="6"/>
      <c r="O3" s="7"/>
      <c r="P3" s="6"/>
      <c r="Q3" s="6"/>
      <c r="R3" s="6"/>
      <c r="S3" s="6"/>
      <c r="T3" s="6"/>
      <c r="U3" s="6"/>
    </row>
    <row r="4" spans="2:22" ht="79.5" customHeight="1" thickBot="1" x14ac:dyDescent="0.25">
      <c r="B4" s="196" t="s">
        <v>385</v>
      </c>
      <c r="C4" s="197"/>
      <c r="D4" s="197"/>
      <c r="E4" s="197"/>
      <c r="F4" s="197"/>
      <c r="G4" s="198"/>
      <c r="K4" s="6"/>
      <c r="L4" s="6"/>
      <c r="M4" s="203" t="s">
        <v>2523</v>
      </c>
      <c r="N4" s="203"/>
      <c r="O4" s="203"/>
      <c r="P4" s="203"/>
      <c r="Q4" s="203"/>
      <c r="R4" s="203"/>
      <c r="S4" s="6"/>
      <c r="T4" s="6"/>
      <c r="U4" s="6"/>
    </row>
    <row r="5" spans="2:22" ht="29.25" customHeight="1" thickTop="1" x14ac:dyDescent="0.2">
      <c r="K5" s="6"/>
      <c r="L5" s="6"/>
      <c r="M5" s="204" t="s">
        <v>2525</v>
      </c>
      <c r="N5" s="204"/>
      <c r="O5" s="204"/>
      <c r="P5" s="204"/>
      <c r="Q5" s="204"/>
      <c r="R5" s="204"/>
      <c r="S5" s="6"/>
      <c r="T5" s="6"/>
      <c r="U5" s="6"/>
    </row>
    <row r="6" spans="2:22" ht="15" thickBot="1" x14ac:dyDescent="0.25">
      <c r="K6" s="6"/>
      <c r="L6" s="6"/>
      <c r="M6" s="6"/>
      <c r="N6" s="6"/>
      <c r="O6" s="7"/>
      <c r="P6" s="6"/>
      <c r="Q6" s="6"/>
      <c r="R6" s="6"/>
      <c r="S6" s="6"/>
      <c r="T6" s="6"/>
      <c r="U6" s="6"/>
    </row>
    <row r="7" spans="2:22" ht="15" thickBot="1" x14ac:dyDescent="0.25">
      <c r="B7" s="30" t="s">
        <v>715</v>
      </c>
      <c r="D7" s="30" t="s">
        <v>716</v>
      </c>
      <c r="F7" s="199" t="s">
        <v>1404</v>
      </c>
      <c r="G7" s="200"/>
      <c r="I7" s="30" t="s">
        <v>611</v>
      </c>
      <c r="K7" s="6"/>
      <c r="L7" s="6"/>
      <c r="M7" s="201" t="s">
        <v>642</v>
      </c>
      <c r="N7" s="202"/>
      <c r="O7" s="202"/>
      <c r="P7" s="202"/>
      <c r="Q7" s="202"/>
      <c r="R7" s="202"/>
      <c r="S7" s="6"/>
      <c r="T7" s="31" t="s">
        <v>612</v>
      </c>
      <c r="U7" s="6"/>
      <c r="V7" s="30" t="s">
        <v>613</v>
      </c>
    </row>
    <row r="8" spans="2:22" x14ac:dyDescent="0.2">
      <c r="K8" s="6"/>
      <c r="L8" s="6"/>
      <c r="S8" s="6"/>
      <c r="T8" s="6"/>
      <c r="U8" s="6"/>
    </row>
    <row r="9" spans="2:22" ht="51" customHeight="1" x14ac:dyDescent="0.2">
      <c r="B9" s="191"/>
      <c r="D9" s="191"/>
      <c r="F9" s="191" t="s">
        <v>672</v>
      </c>
      <c r="G9" s="191" t="s">
        <v>673</v>
      </c>
      <c r="I9" s="191"/>
      <c r="K9" s="125" t="s">
        <v>719</v>
      </c>
      <c r="L9" s="6"/>
      <c r="M9" s="32" t="s">
        <v>648</v>
      </c>
      <c r="N9" s="32" t="s">
        <v>1727</v>
      </c>
      <c r="O9" s="32" t="s">
        <v>1728</v>
      </c>
      <c r="P9" s="32" t="s">
        <v>1729</v>
      </c>
      <c r="Q9" s="71"/>
      <c r="R9" s="32" t="s">
        <v>1730</v>
      </c>
      <c r="S9" s="6"/>
      <c r="T9" s="189"/>
      <c r="U9" s="6"/>
      <c r="V9" s="191"/>
    </row>
    <row r="10" spans="2:22" x14ac:dyDescent="0.2">
      <c r="B10" s="191"/>
      <c r="D10" s="191"/>
      <c r="F10" s="191"/>
      <c r="G10" s="191"/>
      <c r="I10" s="191"/>
      <c r="K10" s="8"/>
      <c r="L10" s="6"/>
      <c r="M10" s="65" t="s">
        <v>720</v>
      </c>
      <c r="N10" s="70">
        <v>7.79</v>
      </c>
      <c r="O10" s="66">
        <f t="shared" ref="O10:O40" si="0">N10/100</f>
        <v>7.7899999999999997E-2</v>
      </c>
      <c r="P10" s="67">
        <v>100</v>
      </c>
      <c r="Q10" s="6"/>
      <c r="R10" s="70">
        <f t="shared" ref="R10:R40" si="1">P11/(1+O11)</f>
        <v>100</v>
      </c>
      <c r="S10" s="6"/>
      <c r="T10" s="190"/>
      <c r="U10" s="6"/>
      <c r="V10" s="191"/>
    </row>
    <row r="11" spans="2:22" x14ac:dyDescent="0.2">
      <c r="B11" s="74" t="s">
        <v>645</v>
      </c>
      <c r="D11" s="3" t="s">
        <v>685</v>
      </c>
      <c r="F11" s="41" t="s">
        <v>614</v>
      </c>
      <c r="G11" s="3" t="s">
        <v>685</v>
      </c>
      <c r="I11" s="3" t="s">
        <v>615</v>
      </c>
      <c r="K11" s="126" t="s">
        <v>729</v>
      </c>
      <c r="L11" s="6"/>
      <c r="M11" s="68" t="s">
        <v>721</v>
      </c>
      <c r="N11" s="70">
        <v>8.27</v>
      </c>
      <c r="O11" s="66">
        <f t="shared" si="0"/>
        <v>8.2699999999999996E-2</v>
      </c>
      <c r="P11" s="67">
        <f t="shared" ref="P11:P40" si="2">(1+O11)*P10</f>
        <v>108.27</v>
      </c>
      <c r="Q11" s="6"/>
      <c r="R11" s="70">
        <f t="shared" si="1"/>
        <v>108.27</v>
      </c>
      <c r="S11" s="6"/>
      <c r="T11" s="65" t="s">
        <v>720</v>
      </c>
      <c r="U11" s="6"/>
      <c r="V11" s="9" t="s">
        <v>616</v>
      </c>
    </row>
    <row r="12" spans="2:22" x14ac:dyDescent="0.2">
      <c r="B12" s="3" t="s">
        <v>1735</v>
      </c>
      <c r="D12" s="3" t="s">
        <v>706</v>
      </c>
      <c r="F12" s="41" t="s">
        <v>1420</v>
      </c>
      <c r="G12" s="3" t="s">
        <v>676</v>
      </c>
      <c r="I12" s="3" t="s">
        <v>1367</v>
      </c>
      <c r="K12" s="6"/>
      <c r="L12" s="6"/>
      <c r="M12" s="68" t="s">
        <v>722</v>
      </c>
      <c r="N12" s="70">
        <v>5.8680000000000003</v>
      </c>
      <c r="O12" s="66">
        <f t="shared" si="0"/>
        <v>5.8680000000000003E-2</v>
      </c>
      <c r="P12" s="67">
        <f t="shared" si="2"/>
        <v>114.62328360000001</v>
      </c>
      <c r="Q12" s="6"/>
      <c r="R12" s="70">
        <f t="shared" si="1"/>
        <v>114.62328360000001</v>
      </c>
      <c r="S12" s="6"/>
      <c r="T12" s="65" t="s">
        <v>721</v>
      </c>
      <c r="U12" s="6"/>
      <c r="V12" s="9" t="s">
        <v>619</v>
      </c>
    </row>
    <row r="13" spans="2:22" x14ac:dyDescent="0.2">
      <c r="B13" s="3" t="s">
        <v>1736</v>
      </c>
      <c r="D13" s="3" t="s">
        <v>689</v>
      </c>
      <c r="F13" s="41" t="s">
        <v>683</v>
      </c>
      <c r="G13" s="3" t="s">
        <v>1389</v>
      </c>
      <c r="I13" s="3" t="s">
        <v>877</v>
      </c>
      <c r="K13" s="6"/>
      <c r="L13" s="6"/>
      <c r="M13" s="68" t="s">
        <v>723</v>
      </c>
      <c r="N13" s="70">
        <v>2.5470000000000002</v>
      </c>
      <c r="O13" s="66">
        <f>N13/100</f>
        <v>2.5470000000000003E-2</v>
      </c>
      <c r="P13" s="67">
        <f>(1+O13)*P12</f>
        <v>117.54273863329202</v>
      </c>
      <c r="Q13" s="6"/>
      <c r="R13" s="70">
        <f>P14/(1+O14)</f>
        <v>117.54273863329202</v>
      </c>
      <c r="S13" s="6"/>
      <c r="T13" s="65" t="s">
        <v>722</v>
      </c>
      <c r="U13" s="6"/>
      <c r="V13" s="9" t="s">
        <v>621</v>
      </c>
    </row>
    <row r="14" spans="2:22" x14ac:dyDescent="0.2">
      <c r="B14" s="3" t="s">
        <v>695</v>
      </c>
      <c r="D14" s="3" t="s">
        <v>594</v>
      </c>
      <c r="F14" s="41" t="s">
        <v>684</v>
      </c>
      <c r="G14" s="3" t="s">
        <v>1400</v>
      </c>
      <c r="I14" s="3" t="s">
        <v>735</v>
      </c>
      <c r="K14" s="6"/>
      <c r="L14" s="6"/>
      <c r="M14" s="68" t="s">
        <v>724</v>
      </c>
      <c r="N14" s="70">
        <v>2.452</v>
      </c>
      <c r="O14" s="66">
        <f t="shared" si="0"/>
        <v>2.452E-2</v>
      </c>
      <c r="P14" s="67">
        <f t="shared" si="2"/>
        <v>120.42488658458035</v>
      </c>
      <c r="Q14" s="6"/>
      <c r="R14" s="70">
        <f t="shared" si="1"/>
        <v>120.42488658458035</v>
      </c>
      <c r="S14" s="6"/>
      <c r="T14" s="65" t="s">
        <v>723</v>
      </c>
      <c r="U14" s="6"/>
    </row>
    <row r="15" spans="2:22" x14ac:dyDescent="0.2">
      <c r="B15" s="3" t="s">
        <v>688</v>
      </c>
      <c r="D15" s="3" t="s">
        <v>1447</v>
      </c>
      <c r="F15" s="41" t="s">
        <v>675</v>
      </c>
      <c r="G15" s="3" t="s">
        <v>1417</v>
      </c>
      <c r="I15" s="3" t="s">
        <v>714</v>
      </c>
      <c r="K15" s="6"/>
      <c r="L15" s="6"/>
      <c r="M15" s="68" t="s">
        <v>725</v>
      </c>
      <c r="N15" s="70">
        <v>1.1830000000000001</v>
      </c>
      <c r="O15" s="66">
        <f t="shared" si="0"/>
        <v>1.183E-2</v>
      </c>
      <c r="P15" s="67">
        <f t="shared" si="2"/>
        <v>121.84951299287593</v>
      </c>
      <c r="Q15" s="6"/>
      <c r="R15" s="70">
        <f t="shared" si="1"/>
        <v>121.84951299287593</v>
      </c>
      <c r="S15" s="6"/>
      <c r="T15" s="65" t="s">
        <v>724</v>
      </c>
      <c r="U15" s="6"/>
    </row>
    <row r="16" spans="2:22" x14ac:dyDescent="0.2">
      <c r="B16" s="3" t="s">
        <v>647</v>
      </c>
      <c r="D16" s="3" t="s">
        <v>276</v>
      </c>
      <c r="F16" s="41" t="s">
        <v>2340</v>
      </c>
      <c r="G16" s="3" t="s">
        <v>617</v>
      </c>
      <c r="I16" s="3" t="s">
        <v>873</v>
      </c>
      <c r="K16" s="6"/>
      <c r="L16" s="6"/>
      <c r="M16" s="68" t="s">
        <v>649</v>
      </c>
      <c r="N16" s="70">
        <v>2.9140000000000001</v>
      </c>
      <c r="O16" s="66">
        <f t="shared" si="0"/>
        <v>2.9140000000000003E-2</v>
      </c>
      <c r="P16" s="67">
        <f t="shared" si="2"/>
        <v>125.40020780148832</v>
      </c>
      <c r="Q16" s="6"/>
      <c r="R16" s="70">
        <f t="shared" si="1"/>
        <v>125.40020780148832</v>
      </c>
      <c r="S16" s="6"/>
      <c r="T16" s="65" t="s">
        <v>725</v>
      </c>
      <c r="U16" s="6"/>
    </row>
    <row r="17" spans="2:21" x14ac:dyDescent="0.2">
      <c r="B17" s="3" t="s">
        <v>703</v>
      </c>
      <c r="D17" s="3" t="s">
        <v>622</v>
      </c>
      <c r="F17" s="41" t="s">
        <v>666</v>
      </c>
      <c r="G17" s="3" t="s">
        <v>225</v>
      </c>
      <c r="I17" s="3" t="s">
        <v>875</v>
      </c>
      <c r="K17" s="6"/>
      <c r="L17" s="6"/>
      <c r="M17" s="68" t="s">
        <v>650</v>
      </c>
      <c r="N17" s="70">
        <v>4.234</v>
      </c>
      <c r="O17" s="66">
        <f t="shared" si="0"/>
        <v>4.2340000000000003E-2</v>
      </c>
      <c r="P17" s="67">
        <f t="shared" si="2"/>
        <v>130.70965259980335</v>
      </c>
      <c r="Q17" s="6"/>
      <c r="R17" s="70">
        <f t="shared" si="1"/>
        <v>130.70965259980335</v>
      </c>
      <c r="S17" s="6"/>
      <c r="T17" s="65" t="s">
        <v>649</v>
      </c>
      <c r="U17" s="6"/>
    </row>
    <row r="18" spans="2:21" x14ac:dyDescent="0.2">
      <c r="B18" s="3" t="s">
        <v>1410</v>
      </c>
      <c r="D18" s="3" t="s">
        <v>1349</v>
      </c>
      <c r="F18" s="41" t="s">
        <v>679</v>
      </c>
      <c r="G18" s="3" t="s">
        <v>687</v>
      </c>
      <c r="I18" s="3" t="s">
        <v>1640</v>
      </c>
      <c r="K18" s="6"/>
      <c r="L18" s="6"/>
      <c r="M18" s="68" t="s">
        <v>651</v>
      </c>
      <c r="N18" s="70">
        <v>1.7809999999999999</v>
      </c>
      <c r="O18" s="66">
        <f t="shared" si="0"/>
        <v>1.7809999999999999E-2</v>
      </c>
      <c r="P18" s="67">
        <f t="shared" si="2"/>
        <v>133.03759151260587</v>
      </c>
      <c r="Q18" s="6"/>
      <c r="R18" s="70">
        <f t="shared" si="1"/>
        <v>133.03759151260587</v>
      </c>
      <c r="S18" s="6"/>
      <c r="T18" s="65" t="s">
        <v>650</v>
      </c>
      <c r="U18" s="6"/>
    </row>
    <row r="19" spans="2:21" x14ac:dyDescent="0.2">
      <c r="B19" s="75"/>
      <c r="D19" s="3" t="s">
        <v>624</v>
      </c>
      <c r="F19" s="41" t="s">
        <v>1644</v>
      </c>
      <c r="G19" s="3" t="s">
        <v>678</v>
      </c>
      <c r="I19" s="3" t="s">
        <v>1428</v>
      </c>
      <c r="K19" s="6"/>
      <c r="L19" s="6"/>
      <c r="M19" s="68" t="s">
        <v>652</v>
      </c>
      <c r="N19" s="70">
        <v>1.587</v>
      </c>
      <c r="O19" s="66">
        <f t="shared" si="0"/>
        <v>1.5869999999999999E-2</v>
      </c>
      <c r="P19" s="67">
        <f t="shared" si="2"/>
        <v>135.14889808991094</v>
      </c>
      <c r="Q19" s="6"/>
      <c r="R19" s="70">
        <f t="shared" si="1"/>
        <v>135.14889808991094</v>
      </c>
      <c r="S19" s="6"/>
      <c r="T19" s="65" t="s">
        <v>651</v>
      </c>
      <c r="U19" s="6"/>
    </row>
    <row r="20" spans="2:21" x14ac:dyDescent="0.2">
      <c r="B20" s="75"/>
      <c r="D20" s="3" t="s">
        <v>697</v>
      </c>
      <c r="F20" s="41" t="s">
        <v>712</v>
      </c>
      <c r="G20" s="3" t="s">
        <v>1397</v>
      </c>
      <c r="I20" s="3" t="s">
        <v>1372</v>
      </c>
      <c r="K20" s="6"/>
      <c r="L20" s="6"/>
      <c r="M20" s="68" t="s">
        <v>655</v>
      </c>
      <c r="N20" s="70">
        <v>1.0429999999999999</v>
      </c>
      <c r="O20" s="66">
        <f t="shared" si="0"/>
        <v>1.043E-2</v>
      </c>
      <c r="P20" s="67">
        <f t="shared" si="2"/>
        <v>136.55850109698869</v>
      </c>
      <c r="Q20" s="6"/>
      <c r="R20" s="70">
        <f t="shared" si="1"/>
        <v>136.55850109698869</v>
      </c>
      <c r="S20" s="6"/>
      <c r="T20" s="65" t="s">
        <v>652</v>
      </c>
      <c r="U20" s="6"/>
    </row>
    <row r="21" spans="2:21" x14ac:dyDescent="0.2">
      <c r="B21" s="75"/>
      <c r="D21" s="3" t="s">
        <v>708</v>
      </c>
      <c r="F21" s="41" t="s">
        <v>629</v>
      </c>
      <c r="G21" s="3" t="s">
        <v>1353</v>
      </c>
      <c r="I21" s="3" t="s">
        <v>1388</v>
      </c>
      <c r="K21" s="6"/>
      <c r="L21" s="6"/>
      <c r="M21" s="68" t="s">
        <v>654</v>
      </c>
      <c r="N21" s="70">
        <v>2.2959999999999998</v>
      </c>
      <c r="O21" s="66">
        <f t="shared" si="0"/>
        <v>2.2959999999999998E-2</v>
      </c>
      <c r="P21" s="67">
        <f t="shared" si="2"/>
        <v>139.69388428217556</v>
      </c>
      <c r="Q21" s="6"/>
      <c r="R21" s="70">
        <f t="shared" si="1"/>
        <v>139.69388428217556</v>
      </c>
      <c r="S21" s="6"/>
      <c r="T21" s="65" t="s">
        <v>655</v>
      </c>
      <c r="U21" s="6"/>
    </row>
    <row r="22" spans="2:21" x14ac:dyDescent="0.2">
      <c r="B22" s="75"/>
      <c r="D22" s="3" t="s">
        <v>1415</v>
      </c>
      <c r="F22" s="41" t="s">
        <v>1348</v>
      </c>
      <c r="G22" s="3" t="s">
        <v>737</v>
      </c>
      <c r="I22" s="3" t="s">
        <v>1371</v>
      </c>
      <c r="K22" s="6"/>
      <c r="L22" s="6"/>
      <c r="M22" s="68" t="s">
        <v>653</v>
      </c>
      <c r="N22" s="70">
        <v>1.516</v>
      </c>
      <c r="O22" s="66">
        <f t="shared" si="0"/>
        <v>1.516E-2</v>
      </c>
      <c r="P22" s="67">
        <f t="shared" si="2"/>
        <v>141.81164356789336</v>
      </c>
      <c r="Q22" s="6"/>
      <c r="R22" s="70">
        <f t="shared" si="1"/>
        <v>141.81164356789336</v>
      </c>
      <c r="S22" s="6"/>
      <c r="T22" s="65" t="s">
        <v>654</v>
      </c>
      <c r="U22" s="6"/>
    </row>
    <row r="23" spans="2:21" x14ac:dyDescent="0.2">
      <c r="B23" s="75"/>
      <c r="D23" s="3" t="s">
        <v>704</v>
      </c>
      <c r="F23" s="41" t="s">
        <v>1385</v>
      </c>
      <c r="G23" s="3" t="s">
        <v>1398</v>
      </c>
      <c r="I23" s="3" t="s">
        <v>610</v>
      </c>
      <c r="K23" s="6"/>
      <c r="L23" s="6"/>
      <c r="M23" s="68" t="s">
        <v>656</v>
      </c>
      <c r="N23" s="70">
        <v>2.6320000000000001</v>
      </c>
      <c r="O23" s="66">
        <f t="shared" si="0"/>
        <v>2.632E-2</v>
      </c>
      <c r="P23" s="67">
        <f t="shared" si="2"/>
        <v>145.54412602660028</v>
      </c>
      <c r="Q23" s="6"/>
      <c r="R23" s="70">
        <f t="shared" si="1"/>
        <v>145.54412602660028</v>
      </c>
      <c r="S23" s="6"/>
      <c r="T23" s="65" t="s">
        <v>653</v>
      </c>
      <c r="U23" s="6"/>
    </row>
    <row r="24" spans="2:21" x14ac:dyDescent="0.2">
      <c r="B24" s="75"/>
      <c r="D24" s="3" t="s">
        <v>1422</v>
      </c>
      <c r="F24" s="41" t="s">
        <v>680</v>
      </c>
      <c r="G24" s="3" t="s">
        <v>683</v>
      </c>
      <c r="I24" s="3" t="s">
        <v>1382</v>
      </c>
      <c r="K24" s="6"/>
      <c r="L24" s="6"/>
      <c r="M24" s="68" t="s">
        <v>657</v>
      </c>
      <c r="N24" s="70">
        <v>2.036</v>
      </c>
      <c r="O24" s="66">
        <f t="shared" si="0"/>
        <v>2.036E-2</v>
      </c>
      <c r="P24" s="67">
        <f t="shared" si="2"/>
        <v>148.50740443250186</v>
      </c>
      <c r="Q24" s="6"/>
      <c r="R24" s="70">
        <f t="shared" si="1"/>
        <v>148.50740443250186</v>
      </c>
      <c r="S24" s="6"/>
      <c r="T24" s="65" t="s">
        <v>656</v>
      </c>
      <c r="U24" s="6"/>
    </row>
    <row r="25" spans="2:21" x14ac:dyDescent="0.2">
      <c r="B25" s="75"/>
      <c r="D25" s="3" t="s">
        <v>705</v>
      </c>
      <c r="F25" s="41" t="s">
        <v>681</v>
      </c>
      <c r="G25" s="3" t="s">
        <v>1354</v>
      </c>
      <c r="I25" s="3" t="s">
        <v>1356</v>
      </c>
      <c r="K25" s="6"/>
      <c r="L25" s="6"/>
      <c r="M25" s="68" t="s">
        <v>658</v>
      </c>
      <c r="N25" s="70">
        <v>3.153</v>
      </c>
      <c r="O25" s="66">
        <f t="shared" si="0"/>
        <v>3.1530000000000002E-2</v>
      </c>
      <c r="P25" s="67">
        <f t="shared" si="2"/>
        <v>153.18984289425865</v>
      </c>
      <c r="Q25" s="6"/>
      <c r="R25" s="70">
        <f t="shared" si="1"/>
        <v>153.18984289425865</v>
      </c>
      <c r="S25" s="6"/>
      <c r="T25" s="65" t="s">
        <v>657</v>
      </c>
      <c r="U25" s="6"/>
    </row>
    <row r="26" spans="2:21" x14ac:dyDescent="0.2">
      <c r="B26" s="75"/>
      <c r="D26" s="3" t="s">
        <v>713</v>
      </c>
      <c r="F26" s="41" t="s">
        <v>682</v>
      </c>
      <c r="G26" s="3" t="s">
        <v>1387</v>
      </c>
      <c r="I26" s="3" t="s">
        <v>641</v>
      </c>
      <c r="K26" s="6"/>
      <c r="L26" s="6"/>
      <c r="M26" s="68" t="s">
        <v>659</v>
      </c>
      <c r="N26" s="70">
        <v>2.794</v>
      </c>
      <c r="O26" s="66">
        <f t="shared" si="0"/>
        <v>2.794E-2</v>
      </c>
      <c r="P26" s="67">
        <f t="shared" si="2"/>
        <v>157.46996710472425</v>
      </c>
      <c r="Q26" s="6"/>
      <c r="R26" s="70">
        <f t="shared" si="1"/>
        <v>157.46996710472425</v>
      </c>
      <c r="S26" s="6"/>
      <c r="T26" s="65" t="s">
        <v>658</v>
      </c>
      <c r="U26" s="6"/>
    </row>
    <row r="27" spans="2:21" x14ac:dyDescent="0.2">
      <c r="B27" s="75"/>
      <c r="D27" s="3" t="s">
        <v>646</v>
      </c>
      <c r="F27" s="75"/>
      <c r="G27" s="3" t="s">
        <v>675</v>
      </c>
      <c r="I27" s="3" t="s">
        <v>1357</v>
      </c>
      <c r="K27" s="6"/>
      <c r="L27" s="6"/>
      <c r="M27" s="68" t="s">
        <v>660</v>
      </c>
      <c r="N27" s="70">
        <v>2.7109999999999999</v>
      </c>
      <c r="O27" s="66">
        <f t="shared" si="0"/>
        <v>2.7109999999999999E-2</v>
      </c>
      <c r="P27" s="67">
        <f t="shared" si="2"/>
        <v>161.73897791293331</v>
      </c>
      <c r="Q27" s="6"/>
      <c r="R27" s="70">
        <f t="shared" si="1"/>
        <v>161.73897791293331</v>
      </c>
      <c r="S27" s="6"/>
      <c r="T27" s="65" t="s">
        <v>659</v>
      </c>
      <c r="U27" s="6"/>
    </row>
    <row r="28" spans="2:21" x14ac:dyDescent="0.2">
      <c r="B28" s="75"/>
      <c r="D28" s="3" t="s">
        <v>595</v>
      </c>
      <c r="F28" s="75"/>
      <c r="G28" s="3" t="s">
        <v>1405</v>
      </c>
      <c r="I28" s="3" t="s">
        <v>1396</v>
      </c>
      <c r="K28" s="6"/>
      <c r="L28" s="6"/>
      <c r="M28" s="68" t="s">
        <v>661</v>
      </c>
      <c r="N28" s="70">
        <v>2.9260000000000002</v>
      </c>
      <c r="O28" s="66">
        <f t="shared" si="0"/>
        <v>2.9260000000000001E-2</v>
      </c>
      <c r="P28" s="67">
        <f t="shared" si="2"/>
        <v>166.47146040666576</v>
      </c>
      <c r="Q28" s="6"/>
      <c r="R28" s="70">
        <f t="shared" si="1"/>
        <v>166.47146040666576</v>
      </c>
      <c r="S28" s="6"/>
      <c r="T28" s="65" t="s">
        <v>660</v>
      </c>
      <c r="U28" s="6"/>
    </row>
    <row r="29" spans="2:21" x14ac:dyDescent="0.2">
      <c r="B29" s="75"/>
      <c r="D29" s="3" t="s">
        <v>1362</v>
      </c>
      <c r="F29" s="75"/>
      <c r="G29" s="3" t="s">
        <v>2340</v>
      </c>
      <c r="I29" s="3" t="s">
        <v>618</v>
      </c>
      <c r="K29" s="6"/>
      <c r="L29" s="6"/>
      <c r="M29" s="68" t="s">
        <v>662</v>
      </c>
      <c r="N29" s="70">
        <v>2.5099999999999998</v>
      </c>
      <c r="O29" s="66">
        <f t="shared" si="0"/>
        <v>2.5099999999999997E-2</v>
      </c>
      <c r="P29" s="67">
        <f t="shared" si="2"/>
        <v>170.64989406287305</v>
      </c>
      <c r="Q29" s="6"/>
      <c r="R29" s="70">
        <f t="shared" si="1"/>
        <v>170.64989406287305</v>
      </c>
      <c r="S29" s="6"/>
      <c r="T29" s="65" t="s">
        <v>661</v>
      </c>
      <c r="U29" s="6"/>
    </row>
    <row r="30" spans="2:21" x14ac:dyDescent="0.2">
      <c r="B30" s="75"/>
      <c r="D30" s="3" t="s">
        <v>694</v>
      </c>
      <c r="F30" s="75"/>
      <c r="G30" s="3" t="s">
        <v>666</v>
      </c>
      <c r="I30" s="3" t="s">
        <v>1951</v>
      </c>
      <c r="K30" s="6"/>
      <c r="L30" s="6"/>
      <c r="M30" s="68" t="s">
        <v>663</v>
      </c>
      <c r="N30" s="70">
        <v>2.585</v>
      </c>
      <c r="O30" s="66">
        <f>N30/100</f>
        <v>2.5849999999999998E-2</v>
      </c>
      <c r="P30" s="67">
        <f t="shared" si="2"/>
        <v>175.06119382439829</v>
      </c>
      <c r="Q30" s="6"/>
      <c r="R30" s="70">
        <f t="shared" si="1"/>
        <v>175.06119382439829</v>
      </c>
      <c r="S30" s="6"/>
      <c r="T30" s="65" t="s">
        <v>662</v>
      </c>
      <c r="U30" s="6"/>
    </row>
    <row r="31" spans="2:21" x14ac:dyDescent="0.2">
      <c r="B31" s="75"/>
      <c r="D31" s="3" t="s">
        <v>1376</v>
      </c>
      <c r="F31" s="75"/>
      <c r="G31" s="3" t="s">
        <v>627</v>
      </c>
      <c r="I31" s="3" t="s">
        <v>1366</v>
      </c>
      <c r="K31" s="6"/>
      <c r="L31" s="6"/>
      <c r="M31" s="68" t="s">
        <v>664</v>
      </c>
      <c r="N31" s="70">
        <v>2.7679999999999998</v>
      </c>
      <c r="O31" s="66">
        <f t="shared" si="0"/>
        <v>2.7679999999999996E-2</v>
      </c>
      <c r="P31" s="67">
        <f t="shared" si="2"/>
        <v>179.90688766945763</v>
      </c>
      <c r="Q31" s="6"/>
      <c r="R31" s="70">
        <f t="shared" si="1"/>
        <v>179.90688766945763</v>
      </c>
      <c r="S31" s="6"/>
      <c r="T31" s="65" t="s">
        <v>663</v>
      </c>
      <c r="U31" s="6"/>
    </row>
    <row r="32" spans="2:21" x14ac:dyDescent="0.2">
      <c r="B32" s="75"/>
      <c r="D32" s="3" t="s">
        <v>1363</v>
      </c>
      <c r="F32" s="75"/>
      <c r="G32" s="3" t="s">
        <v>1399</v>
      </c>
      <c r="I32" s="3" t="s">
        <v>1392</v>
      </c>
      <c r="K32" s="6"/>
      <c r="M32" s="68" t="s">
        <v>665</v>
      </c>
      <c r="N32" s="70">
        <v>1.79</v>
      </c>
      <c r="O32" s="66">
        <f t="shared" si="0"/>
        <v>1.7899999999999999E-2</v>
      </c>
      <c r="P32" s="67">
        <f t="shared" si="2"/>
        <v>183.12722095874093</v>
      </c>
      <c r="Q32" s="6"/>
      <c r="R32" s="70">
        <f t="shared" si="1"/>
        <v>183.12722095874093</v>
      </c>
      <c r="S32" s="6"/>
      <c r="T32" s="65" t="s">
        <v>664</v>
      </c>
      <c r="U32" s="6"/>
    </row>
    <row r="33" spans="2:21" x14ac:dyDescent="0.2">
      <c r="B33" s="75"/>
      <c r="D33" s="3" t="s">
        <v>701</v>
      </c>
      <c r="F33" s="75"/>
      <c r="G33" s="3" t="s">
        <v>1418</v>
      </c>
      <c r="I33" s="3" t="s">
        <v>235</v>
      </c>
      <c r="K33" s="6"/>
      <c r="L33" s="10"/>
      <c r="M33" s="69" t="s">
        <v>726</v>
      </c>
      <c r="N33" s="70">
        <v>1.6140000000000001</v>
      </c>
      <c r="O33" s="66">
        <f t="shared" si="0"/>
        <v>1.6140000000000002E-2</v>
      </c>
      <c r="P33" s="67">
        <f t="shared" si="2"/>
        <v>186.08289430501503</v>
      </c>
      <c r="Q33" s="6"/>
      <c r="R33" s="70">
        <f t="shared" si="1"/>
        <v>186.08289430501503</v>
      </c>
      <c r="S33" s="6"/>
      <c r="T33" s="65" t="s">
        <v>665</v>
      </c>
      <c r="U33" s="6"/>
    </row>
    <row r="34" spans="2:21" x14ac:dyDescent="0.2">
      <c r="B34" s="75"/>
      <c r="D34" s="3" t="s">
        <v>1375</v>
      </c>
      <c r="F34" s="75"/>
      <c r="G34" s="3" t="s">
        <v>1384</v>
      </c>
      <c r="I34" s="3" t="s">
        <v>1373</v>
      </c>
      <c r="K34" s="6"/>
      <c r="L34" s="10"/>
      <c r="M34" s="69" t="s">
        <v>727</v>
      </c>
      <c r="N34" s="70">
        <v>2.1230000000000002</v>
      </c>
      <c r="O34" s="66">
        <f t="shared" si="0"/>
        <v>2.1230000000000002E-2</v>
      </c>
      <c r="P34" s="67">
        <f t="shared" si="2"/>
        <v>190.03343415111053</v>
      </c>
      <c r="Q34" s="6"/>
      <c r="R34" s="70">
        <f t="shared" si="1"/>
        <v>190.03343415111053</v>
      </c>
      <c r="S34" s="6"/>
      <c r="T34" s="65" t="s">
        <v>726</v>
      </c>
      <c r="U34" s="6"/>
    </row>
    <row r="35" spans="2:21" x14ac:dyDescent="0.2">
      <c r="B35" s="75"/>
      <c r="D35" s="3" t="s">
        <v>700</v>
      </c>
      <c r="F35" s="75"/>
      <c r="G35" s="3" t="s">
        <v>677</v>
      </c>
      <c r="I35" s="3" t="s">
        <v>640</v>
      </c>
      <c r="K35" s="6"/>
      <c r="L35" s="10" t="s">
        <v>734</v>
      </c>
      <c r="M35" s="69" t="s">
        <v>728</v>
      </c>
      <c r="N35" s="70">
        <v>1.7</v>
      </c>
      <c r="O35" s="66">
        <f>N35/100</f>
        <v>1.7000000000000001E-2</v>
      </c>
      <c r="P35" s="67">
        <f>(1+O35)*P34</f>
        <v>193.26400253167938</v>
      </c>
      <c r="Q35" s="6"/>
      <c r="R35" s="70">
        <f t="shared" si="1"/>
        <v>193.26400253167938</v>
      </c>
      <c r="S35" s="6"/>
      <c r="T35" s="65" t="s">
        <v>727</v>
      </c>
      <c r="U35" s="6"/>
    </row>
    <row r="36" spans="2:21" x14ac:dyDescent="0.2">
      <c r="B36" s="75"/>
      <c r="D36" s="3" t="s">
        <v>1421</v>
      </c>
      <c r="F36" s="75"/>
      <c r="G36" s="3" t="s">
        <v>712</v>
      </c>
      <c r="I36" s="3" t="s">
        <v>630</v>
      </c>
      <c r="K36" s="6"/>
      <c r="L36" s="10" t="s">
        <v>734</v>
      </c>
      <c r="M36" s="69" t="s">
        <v>729</v>
      </c>
      <c r="N36" s="70">
        <v>1.4</v>
      </c>
      <c r="O36" s="66">
        <f t="shared" si="0"/>
        <v>1.3999999999999999E-2</v>
      </c>
      <c r="P36" s="67">
        <f t="shared" si="2"/>
        <v>195.96969856712289</v>
      </c>
      <c r="Q36" s="6"/>
      <c r="R36" s="70">
        <f t="shared" si="1"/>
        <v>195.96969856712289</v>
      </c>
      <c r="S36" s="6"/>
      <c r="T36" s="65" t="s">
        <v>728</v>
      </c>
      <c r="U36" s="6"/>
    </row>
    <row r="37" spans="2:21" x14ac:dyDescent="0.2">
      <c r="B37" s="75"/>
      <c r="D37" s="3" t="s">
        <v>2496</v>
      </c>
      <c r="F37" s="75"/>
      <c r="G37" s="3" t="s">
        <v>629</v>
      </c>
      <c r="I37" s="3" t="s">
        <v>626</v>
      </c>
      <c r="K37" s="6"/>
      <c r="L37" s="10" t="s">
        <v>734</v>
      </c>
      <c r="M37" s="69" t="s">
        <v>730</v>
      </c>
      <c r="N37" s="70">
        <v>1.2</v>
      </c>
      <c r="O37" s="66">
        <f t="shared" si="0"/>
        <v>1.2E-2</v>
      </c>
      <c r="P37" s="67">
        <f t="shared" si="2"/>
        <v>198.32133494992837</v>
      </c>
      <c r="Q37" s="6"/>
      <c r="R37" s="70">
        <f t="shared" si="1"/>
        <v>198.32133494992837</v>
      </c>
      <c r="S37" s="6"/>
      <c r="T37" s="65" t="s">
        <v>729</v>
      </c>
      <c r="U37" s="6"/>
    </row>
    <row r="38" spans="2:21" x14ac:dyDescent="0.2">
      <c r="B38" s="75"/>
      <c r="D38" s="3" t="s">
        <v>1416</v>
      </c>
      <c r="F38" s="75"/>
      <c r="G38" s="3" t="s">
        <v>1348</v>
      </c>
      <c r="I38" s="3" t="s">
        <v>625</v>
      </c>
      <c r="K38" s="6"/>
      <c r="L38" s="10" t="s">
        <v>734</v>
      </c>
      <c r="M38" s="69" t="s">
        <v>731</v>
      </c>
      <c r="N38" s="70">
        <v>1.6</v>
      </c>
      <c r="O38" s="66">
        <f t="shared" si="0"/>
        <v>1.6E-2</v>
      </c>
      <c r="P38" s="67">
        <f t="shared" si="2"/>
        <v>201.49447630912724</v>
      </c>
      <c r="Q38" s="6"/>
      <c r="R38" s="70">
        <f t="shared" si="1"/>
        <v>201.49447630912724</v>
      </c>
      <c r="S38" s="6"/>
      <c r="U38" s="6"/>
    </row>
    <row r="39" spans="2:21" x14ac:dyDescent="0.2">
      <c r="B39" s="75"/>
      <c r="D39" s="3" t="s">
        <v>699</v>
      </c>
      <c r="F39" s="75"/>
      <c r="G39" s="3" t="s">
        <v>669</v>
      </c>
      <c r="I39" s="3" t="s">
        <v>1369</v>
      </c>
      <c r="K39" s="6"/>
      <c r="L39" s="10" t="s">
        <v>734</v>
      </c>
      <c r="M39" s="69" t="s">
        <v>732</v>
      </c>
      <c r="N39" s="70">
        <v>2.1</v>
      </c>
      <c r="O39" s="66">
        <f t="shared" si="0"/>
        <v>2.1000000000000001E-2</v>
      </c>
      <c r="P39" s="67">
        <f t="shared" si="2"/>
        <v>205.7258603116189</v>
      </c>
      <c r="Q39" s="6"/>
      <c r="R39" s="70">
        <f>P40/(1+O40)</f>
        <v>205.7258603116189</v>
      </c>
      <c r="S39" s="6"/>
      <c r="U39" s="6"/>
    </row>
    <row r="40" spans="2:21" x14ac:dyDescent="0.2">
      <c r="B40" s="75"/>
      <c r="D40" s="3" t="s">
        <v>2318</v>
      </c>
      <c r="F40" s="75"/>
      <c r="G40" s="3" t="s">
        <v>667</v>
      </c>
      <c r="I40" s="3" t="s">
        <v>1350</v>
      </c>
      <c r="K40" s="6"/>
      <c r="L40" s="10" t="s">
        <v>734</v>
      </c>
      <c r="M40" s="69" t="s">
        <v>733</v>
      </c>
      <c r="N40" s="70">
        <v>2.6</v>
      </c>
      <c r="O40" s="66">
        <f t="shared" si="0"/>
        <v>2.6000000000000002E-2</v>
      </c>
      <c r="P40" s="67">
        <f t="shared" si="2"/>
        <v>211.074732679721</v>
      </c>
      <c r="Q40" s="6"/>
      <c r="R40" s="70">
        <f t="shared" si="1"/>
        <v>0</v>
      </c>
      <c r="S40" s="6"/>
      <c r="U40" s="6"/>
    </row>
    <row r="41" spans="2:21" x14ac:dyDescent="0.2">
      <c r="B41" s="75"/>
      <c r="D41" s="3" t="s">
        <v>1377</v>
      </c>
      <c r="F41" s="75"/>
      <c r="G41" s="3" t="s">
        <v>680</v>
      </c>
      <c r="I41" s="3" t="s">
        <v>1365</v>
      </c>
    </row>
    <row r="42" spans="2:21" ht="14.25" customHeight="1" x14ac:dyDescent="0.2">
      <c r="B42" s="75"/>
      <c r="D42" s="3" t="s">
        <v>1378</v>
      </c>
      <c r="F42" s="75"/>
      <c r="G42" s="3" t="s">
        <v>686</v>
      </c>
      <c r="I42" s="3" t="s">
        <v>628</v>
      </c>
      <c r="M42" s="72" t="s">
        <v>2524</v>
      </c>
      <c r="N42" s="72"/>
      <c r="O42" s="72"/>
      <c r="P42" s="72"/>
      <c r="Q42" s="72"/>
      <c r="R42" s="72"/>
    </row>
    <row r="43" spans="2:21" x14ac:dyDescent="0.2">
      <c r="B43" s="75"/>
      <c r="D43" s="3" t="s">
        <v>698</v>
      </c>
      <c r="F43" s="75"/>
      <c r="G43" s="3" t="s">
        <v>1347</v>
      </c>
      <c r="I43" s="3" t="s">
        <v>1355</v>
      </c>
      <c r="M43" s="72" t="s">
        <v>1731</v>
      </c>
      <c r="N43" s="72"/>
      <c r="O43" s="72"/>
      <c r="P43" s="72"/>
      <c r="Q43" s="72"/>
      <c r="R43" s="72"/>
    </row>
    <row r="44" spans="2:21" x14ac:dyDescent="0.2">
      <c r="B44" s="75"/>
      <c r="D44" s="3" t="s">
        <v>1424</v>
      </c>
      <c r="F44" s="75"/>
      <c r="G44" s="3" t="s">
        <v>682</v>
      </c>
      <c r="I44" s="3" t="s">
        <v>637</v>
      </c>
      <c r="M44" s="73" t="s">
        <v>2522</v>
      </c>
    </row>
    <row r="45" spans="2:21" x14ac:dyDescent="0.2">
      <c r="B45" s="75"/>
      <c r="D45" s="3" t="s">
        <v>710</v>
      </c>
      <c r="F45" s="75"/>
      <c r="G45" s="3" t="s">
        <v>548</v>
      </c>
      <c r="I45" s="3" t="s">
        <v>1360</v>
      </c>
    </row>
    <row r="46" spans="2:21" x14ac:dyDescent="0.2">
      <c r="B46" s="75"/>
      <c r="D46" s="3" t="s">
        <v>702</v>
      </c>
      <c r="F46" s="75"/>
      <c r="G46" s="41" t="s">
        <v>670</v>
      </c>
      <c r="I46" s="3" t="s">
        <v>1359</v>
      </c>
    </row>
    <row r="47" spans="2:21" x14ac:dyDescent="0.2">
      <c r="B47" s="75"/>
      <c r="D47" s="3" t="s">
        <v>693</v>
      </c>
      <c r="F47" s="75"/>
      <c r="G47" s="41" t="s">
        <v>635</v>
      </c>
      <c r="I47" s="3" t="s">
        <v>1393</v>
      </c>
    </row>
    <row r="48" spans="2:21" x14ac:dyDescent="0.2">
      <c r="B48" s="75"/>
      <c r="D48" s="3" t="s">
        <v>707</v>
      </c>
      <c r="F48" s="75"/>
      <c r="G48" s="75"/>
      <c r="I48" s="3" t="s">
        <v>632</v>
      </c>
    </row>
    <row r="49" spans="2:9" x14ac:dyDescent="0.2">
      <c r="B49" s="75"/>
      <c r="D49" s="3" t="s">
        <v>636</v>
      </c>
      <c r="F49" s="75"/>
      <c r="G49" s="75"/>
      <c r="I49" s="3" t="s">
        <v>1381</v>
      </c>
    </row>
    <row r="50" spans="2:9" x14ac:dyDescent="0.2">
      <c r="B50" s="75"/>
      <c r="D50" s="3" t="s">
        <v>1364</v>
      </c>
      <c r="F50" s="75"/>
      <c r="G50" s="75"/>
      <c r="I50" s="3" t="s">
        <v>876</v>
      </c>
    </row>
    <row r="51" spans="2:9" x14ac:dyDescent="0.2">
      <c r="B51" s="75"/>
      <c r="D51" s="3" t="s">
        <v>381</v>
      </c>
      <c r="F51" s="75"/>
      <c r="G51" s="75"/>
      <c r="I51" s="3" t="s">
        <v>1414</v>
      </c>
    </row>
    <row r="52" spans="2:9" x14ac:dyDescent="0.2">
      <c r="D52" s="3" t="s">
        <v>1379</v>
      </c>
      <c r="I52" s="3" t="s">
        <v>1390</v>
      </c>
    </row>
    <row r="53" spans="2:9" x14ac:dyDescent="0.2">
      <c r="D53" s="3" t="s">
        <v>1679</v>
      </c>
      <c r="I53" s="3" t="s">
        <v>1370</v>
      </c>
    </row>
    <row r="54" spans="2:9" x14ac:dyDescent="0.2">
      <c r="D54" s="3" t="s">
        <v>711</v>
      </c>
      <c r="I54" s="3" t="s">
        <v>1394</v>
      </c>
    </row>
    <row r="55" spans="2:9" x14ac:dyDescent="0.2">
      <c r="D55" s="3" t="s">
        <v>709</v>
      </c>
      <c r="I55" s="3" t="s">
        <v>1344</v>
      </c>
    </row>
    <row r="56" spans="2:9" x14ac:dyDescent="0.2">
      <c r="D56" s="3" t="s">
        <v>1762</v>
      </c>
      <c r="I56" s="3" t="s">
        <v>1401</v>
      </c>
    </row>
    <row r="57" spans="2:9" x14ac:dyDescent="0.2">
      <c r="D57" s="3" t="s">
        <v>1761</v>
      </c>
      <c r="I57" s="3" t="s">
        <v>1342</v>
      </c>
    </row>
    <row r="58" spans="2:9" x14ac:dyDescent="0.2">
      <c r="D58" s="3" t="s">
        <v>690</v>
      </c>
      <c r="I58" s="3" t="s">
        <v>639</v>
      </c>
    </row>
    <row r="59" spans="2:9" x14ac:dyDescent="0.2">
      <c r="D59" s="3" t="s">
        <v>285</v>
      </c>
      <c r="I59" s="3" t="s">
        <v>1345</v>
      </c>
    </row>
    <row r="60" spans="2:9" x14ac:dyDescent="0.2">
      <c r="D60" s="3" t="s">
        <v>696</v>
      </c>
      <c r="I60" s="3" t="s">
        <v>1383</v>
      </c>
    </row>
    <row r="61" spans="2:9" x14ac:dyDescent="0.2">
      <c r="D61" s="3" t="s">
        <v>1361</v>
      </c>
      <c r="I61" s="3" t="s">
        <v>1346</v>
      </c>
    </row>
    <row r="62" spans="2:9" x14ac:dyDescent="0.2">
      <c r="D62" s="3" t="s">
        <v>692</v>
      </c>
      <c r="I62" s="3" t="s">
        <v>874</v>
      </c>
    </row>
    <row r="63" spans="2:9" x14ac:dyDescent="0.2">
      <c r="D63" s="3" t="s">
        <v>691</v>
      </c>
      <c r="I63" s="3" t="s">
        <v>1406</v>
      </c>
    </row>
    <row r="64" spans="2:9" x14ac:dyDescent="0.2">
      <c r="D64" s="3" t="s">
        <v>736</v>
      </c>
      <c r="I64" s="3" t="s">
        <v>1374</v>
      </c>
    </row>
    <row r="65" spans="4:9" x14ac:dyDescent="0.2">
      <c r="D65" s="3" t="s">
        <v>638</v>
      </c>
      <c r="I65" s="3" t="s">
        <v>1654</v>
      </c>
    </row>
    <row r="66" spans="4:9" x14ac:dyDescent="0.2">
      <c r="I66" s="3" t="s">
        <v>633</v>
      </c>
    </row>
    <row r="67" spans="4:9" x14ac:dyDescent="0.2">
      <c r="I67" s="3" t="s">
        <v>1044</v>
      </c>
    </row>
    <row r="68" spans="4:9" x14ac:dyDescent="0.2">
      <c r="I68" s="3" t="s">
        <v>1044</v>
      </c>
    </row>
    <row r="69" spans="4:9" x14ac:dyDescent="0.2">
      <c r="I69" s="3" t="s">
        <v>620</v>
      </c>
    </row>
    <row r="70" spans="4:9" x14ac:dyDescent="0.2">
      <c r="I70" s="3" t="s">
        <v>1341</v>
      </c>
    </row>
    <row r="71" spans="4:9" x14ac:dyDescent="0.2">
      <c r="I71" s="3" t="s">
        <v>1391</v>
      </c>
    </row>
    <row r="72" spans="4:9" x14ac:dyDescent="0.2">
      <c r="I72" s="3" t="s">
        <v>1351</v>
      </c>
    </row>
    <row r="73" spans="4:9" x14ac:dyDescent="0.2">
      <c r="I73" s="3" t="s">
        <v>1368</v>
      </c>
    </row>
    <row r="74" spans="4:9" x14ac:dyDescent="0.2">
      <c r="I74" s="3" t="s">
        <v>1395</v>
      </c>
    </row>
    <row r="75" spans="4:9" x14ac:dyDescent="0.2">
      <c r="I75" s="3" t="s">
        <v>623</v>
      </c>
    </row>
    <row r="76" spans="4:9" x14ac:dyDescent="0.2">
      <c r="I76" s="3" t="s">
        <v>631</v>
      </c>
    </row>
    <row r="77" spans="4:9" x14ac:dyDescent="0.2">
      <c r="I77" s="3" t="s">
        <v>634</v>
      </c>
    </row>
    <row r="78" spans="4:9" x14ac:dyDescent="0.2">
      <c r="I78" s="14" t="s">
        <v>1352</v>
      </c>
    </row>
    <row r="79" spans="4:9" x14ac:dyDescent="0.2">
      <c r="I79" s="3" t="s">
        <v>1340</v>
      </c>
    </row>
    <row r="80" spans="4:9" x14ac:dyDescent="0.2">
      <c r="I80" s="3" t="s">
        <v>1380</v>
      </c>
    </row>
    <row r="81" spans="9:9" x14ac:dyDescent="0.2">
      <c r="I81" s="75"/>
    </row>
    <row r="82" spans="9:9" x14ac:dyDescent="0.2">
      <c r="I82" s="75"/>
    </row>
    <row r="83" spans="9:9" x14ac:dyDescent="0.2">
      <c r="I83" s="75"/>
    </row>
    <row r="84" spans="9:9" x14ac:dyDescent="0.2">
      <c r="I84" s="75"/>
    </row>
    <row r="85" spans="9:9" x14ac:dyDescent="0.2">
      <c r="I85" s="75"/>
    </row>
  </sheetData>
  <mergeCells count="13">
    <mergeCell ref="B2:G2"/>
    <mergeCell ref="B4:G4"/>
    <mergeCell ref="F7:G7"/>
    <mergeCell ref="M7:R7"/>
    <mergeCell ref="M4:R4"/>
    <mergeCell ref="M5:R5"/>
    <mergeCell ref="T9:T10"/>
    <mergeCell ref="B9:B10"/>
    <mergeCell ref="V9:V10"/>
    <mergeCell ref="D9:D10"/>
    <mergeCell ref="F9:F10"/>
    <mergeCell ref="G9:G10"/>
    <mergeCell ref="I9:I10"/>
  </mergeCells>
  <phoneticPr fontId="5" type="noConversion"/>
  <conditionalFormatting sqref="V11:V13">
    <cfRule type="cellIs" dxfId="2" priority="1" stopIfTrue="1" operator="equal">
      <formula>$V$11</formula>
    </cfRule>
    <cfRule type="cellIs" dxfId="1" priority="2" stopIfTrue="1" operator="equal">
      <formula>$V$12</formula>
    </cfRule>
    <cfRule type="cellIs" dxfId="0" priority="3" stopIfTrue="1" operator="equal">
      <formula>$V$13</formula>
    </cfRule>
  </conditionalFormatting>
  <dataValidations count="1">
    <dataValidation type="list" allowBlank="1" showInputMessage="1" showErrorMessage="1" sqref="I61:I62">
      <formula1>Unit</formula1>
    </dataValidation>
  </dataValidations>
  <hyperlinks>
    <hyperlink ref="M44" r:id="rId1"/>
  </hyperlinks>
  <pageMargins left="0.75" right="0.75" top="1" bottom="1" header="0.5" footer="0.5"/>
  <pageSetup paperSize="8" scale="48" orientation="landscape" r:id="rId2"/>
  <headerFooter alignWithMargins="0"/>
  <rowBreaks count="1" manualBreakCount="1">
    <brk id="9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46"/>
  <sheetViews>
    <sheetView showGridLines="0" showRowColHeaders="0" zoomScale="90" zoomScaleNormal="90" workbookViewId="0">
      <pane ySplit="2" topLeftCell="A3" activePane="bottomLeft" state="frozen"/>
      <selection pane="bottomLeft" activeCell="B2" sqref="B2"/>
    </sheetView>
  </sheetViews>
  <sheetFormatPr defaultRowHeight="12.75" x14ac:dyDescent="0.2"/>
  <cols>
    <col min="1" max="1" width="1.25" style="160" customWidth="1"/>
    <col min="2" max="2" width="11.625" style="152" customWidth="1"/>
    <col min="3" max="3" width="48.875" style="153" customWidth="1"/>
    <col min="4" max="4" width="95.25" style="154" customWidth="1"/>
    <col min="5" max="5" width="23.625" style="152" customWidth="1"/>
    <col min="6" max="6" width="1.25" style="137" customWidth="1"/>
    <col min="7" max="16384" width="9" style="137"/>
  </cols>
  <sheetData>
    <row r="1" spans="1:5" ht="7.5" customHeight="1" x14ac:dyDescent="0.2"/>
    <row r="2" spans="1:5" ht="34.5" customHeight="1" x14ac:dyDescent="0.2">
      <c r="A2" s="156"/>
      <c r="B2" s="119" t="s">
        <v>1913</v>
      </c>
      <c r="C2" s="117" t="s">
        <v>1409</v>
      </c>
      <c r="D2" s="116" t="s">
        <v>1914</v>
      </c>
      <c r="E2" s="118" t="s">
        <v>2279</v>
      </c>
    </row>
    <row r="3" spans="1:5" s="139" customFormat="1" ht="21" customHeight="1" x14ac:dyDescent="0.2">
      <c r="A3" s="157"/>
      <c r="B3" s="205" t="s">
        <v>38</v>
      </c>
      <c r="C3" s="206"/>
      <c r="D3" s="206"/>
      <c r="E3" s="206"/>
    </row>
    <row r="4" spans="1:5" s="139" customFormat="1" ht="38.25" x14ac:dyDescent="0.2">
      <c r="A4" s="148"/>
      <c r="B4" s="214" t="s">
        <v>1915</v>
      </c>
      <c r="C4" s="131" t="s">
        <v>110</v>
      </c>
      <c r="D4" s="134" t="s">
        <v>47</v>
      </c>
      <c r="E4" s="132" t="s">
        <v>112</v>
      </c>
    </row>
    <row r="5" spans="1:5" s="138" customFormat="1" ht="38.25" x14ac:dyDescent="0.2">
      <c r="A5" s="148"/>
      <c r="B5" s="215"/>
      <c r="C5" s="140" t="s">
        <v>111</v>
      </c>
      <c r="D5" s="141" t="s">
        <v>121</v>
      </c>
      <c r="E5" s="142">
        <v>3</v>
      </c>
    </row>
    <row r="6" spans="1:5" s="138" customFormat="1" ht="51" x14ac:dyDescent="0.2">
      <c r="A6" s="158"/>
      <c r="B6" s="216"/>
      <c r="C6" s="143" t="s">
        <v>22</v>
      </c>
      <c r="D6" s="144" t="s">
        <v>16</v>
      </c>
      <c r="E6" s="145">
        <v>21</v>
      </c>
    </row>
    <row r="7" spans="1:5" s="139" customFormat="1" ht="38.25" x14ac:dyDescent="0.2">
      <c r="A7" s="158"/>
      <c r="B7" s="216"/>
      <c r="C7" s="146" t="s">
        <v>116</v>
      </c>
      <c r="D7" s="133" t="s">
        <v>124</v>
      </c>
      <c r="E7" s="147">
        <v>11</v>
      </c>
    </row>
    <row r="8" spans="1:5" s="138" customFormat="1" ht="51" x14ac:dyDescent="0.2">
      <c r="A8" s="148"/>
      <c r="B8" s="215"/>
      <c r="C8" s="140" t="s">
        <v>915</v>
      </c>
      <c r="D8" s="141" t="s">
        <v>125</v>
      </c>
      <c r="E8" s="142">
        <v>1</v>
      </c>
    </row>
    <row r="9" spans="1:5" s="139" customFormat="1" ht="38.25" x14ac:dyDescent="0.2">
      <c r="A9" s="158"/>
      <c r="B9" s="216"/>
      <c r="C9" s="146" t="s">
        <v>113</v>
      </c>
      <c r="D9" s="133" t="s">
        <v>122</v>
      </c>
      <c r="E9" s="147">
        <v>1</v>
      </c>
    </row>
    <row r="10" spans="1:5" s="138" customFormat="1" x14ac:dyDescent="0.2">
      <c r="A10" s="148"/>
      <c r="B10" s="215"/>
      <c r="C10" s="140" t="s">
        <v>2417</v>
      </c>
      <c r="D10" s="141" t="s">
        <v>123</v>
      </c>
      <c r="E10" s="142">
        <v>1</v>
      </c>
    </row>
    <row r="11" spans="1:5" s="139" customFormat="1" ht="25.5" x14ac:dyDescent="0.2">
      <c r="A11" s="158"/>
      <c r="B11" s="216"/>
      <c r="C11" s="146" t="s">
        <v>114</v>
      </c>
      <c r="D11" s="133" t="s">
        <v>48</v>
      </c>
      <c r="E11" s="147">
        <v>128</v>
      </c>
    </row>
    <row r="12" spans="1:5" s="138" customFormat="1" x14ac:dyDescent="0.2">
      <c r="A12" s="148"/>
      <c r="B12" s="217"/>
      <c r="C12" s="140" t="s">
        <v>115</v>
      </c>
      <c r="D12" s="141" t="s">
        <v>126</v>
      </c>
      <c r="E12" s="142">
        <v>3</v>
      </c>
    </row>
    <row r="13" spans="1:5" s="138" customFormat="1" ht="102" x14ac:dyDescent="0.2">
      <c r="A13" s="157"/>
      <c r="B13" s="143" t="s">
        <v>1916</v>
      </c>
      <c r="C13" s="143" t="s">
        <v>23</v>
      </c>
      <c r="D13" s="144" t="s">
        <v>17</v>
      </c>
      <c r="E13" s="145">
        <v>21</v>
      </c>
    </row>
    <row r="14" spans="1:5" s="138" customFormat="1" ht="89.25" x14ac:dyDescent="0.2">
      <c r="A14" s="157"/>
      <c r="B14" s="218" t="s">
        <v>2035</v>
      </c>
      <c r="C14" s="143" t="s">
        <v>24</v>
      </c>
      <c r="D14" s="144" t="s">
        <v>18</v>
      </c>
      <c r="E14" s="145">
        <v>10</v>
      </c>
    </row>
    <row r="15" spans="1:5" s="138" customFormat="1" ht="38.25" x14ac:dyDescent="0.2">
      <c r="A15" s="157"/>
      <c r="B15" s="218"/>
      <c r="C15" s="143" t="s">
        <v>131</v>
      </c>
      <c r="D15" s="144" t="s">
        <v>127</v>
      </c>
      <c r="E15" s="145">
        <v>19</v>
      </c>
    </row>
    <row r="16" spans="1:5" s="139" customFormat="1" x14ac:dyDescent="0.2">
      <c r="A16" s="157"/>
      <c r="B16" s="218"/>
      <c r="C16" s="146" t="s">
        <v>132</v>
      </c>
      <c r="D16" s="134" t="s">
        <v>128</v>
      </c>
      <c r="E16" s="132">
        <v>7</v>
      </c>
    </row>
    <row r="17" spans="1:5" s="139" customFormat="1" ht="25.5" x14ac:dyDescent="0.2">
      <c r="A17" s="159"/>
      <c r="B17" s="212"/>
      <c r="C17" s="131" t="s">
        <v>133</v>
      </c>
      <c r="D17" s="134" t="s">
        <v>141</v>
      </c>
      <c r="E17" s="132">
        <v>11</v>
      </c>
    </row>
    <row r="18" spans="1:5" s="138" customFormat="1" ht="25.5" x14ac:dyDescent="0.2">
      <c r="A18" s="159"/>
      <c r="B18" s="212"/>
      <c r="C18" s="140" t="s">
        <v>140</v>
      </c>
      <c r="D18" s="144" t="s">
        <v>139</v>
      </c>
      <c r="E18" s="145">
        <v>7</v>
      </c>
    </row>
    <row r="19" spans="1:5" s="139" customFormat="1" ht="25.5" x14ac:dyDescent="0.2">
      <c r="A19" s="157"/>
      <c r="B19" s="218"/>
      <c r="C19" s="146" t="s">
        <v>2307</v>
      </c>
      <c r="D19" s="134" t="s">
        <v>134</v>
      </c>
      <c r="E19" s="132">
        <v>1</v>
      </c>
    </row>
    <row r="20" spans="1:5" s="138" customFormat="1" ht="38.25" x14ac:dyDescent="0.2">
      <c r="A20" s="159"/>
      <c r="B20" s="212"/>
      <c r="C20" s="140" t="s">
        <v>135</v>
      </c>
      <c r="D20" s="144" t="s">
        <v>136</v>
      </c>
      <c r="E20" s="145">
        <v>10</v>
      </c>
    </row>
    <row r="21" spans="1:5" s="139" customFormat="1" x14ac:dyDescent="0.2">
      <c r="A21" s="157"/>
      <c r="B21" s="218"/>
      <c r="C21" s="146" t="s">
        <v>137</v>
      </c>
      <c r="D21" s="133" t="s">
        <v>129</v>
      </c>
      <c r="E21" s="147">
        <v>2</v>
      </c>
    </row>
    <row r="22" spans="1:5" s="139" customFormat="1" x14ac:dyDescent="0.2">
      <c r="A22" s="159"/>
      <c r="B22" s="212" t="s">
        <v>2036</v>
      </c>
      <c r="C22" s="131" t="s">
        <v>138</v>
      </c>
      <c r="D22" s="134" t="s">
        <v>130</v>
      </c>
      <c r="E22" s="132">
        <v>15</v>
      </c>
    </row>
    <row r="23" spans="1:5" s="138" customFormat="1" ht="51" x14ac:dyDescent="0.2">
      <c r="A23" s="159"/>
      <c r="B23" s="213"/>
      <c r="C23" s="143" t="s">
        <v>25</v>
      </c>
      <c r="D23" s="144" t="s">
        <v>19</v>
      </c>
      <c r="E23" s="145">
        <v>1</v>
      </c>
    </row>
    <row r="24" spans="1:5" s="139" customFormat="1" ht="38.25" x14ac:dyDescent="0.2">
      <c r="A24" s="157"/>
      <c r="B24" s="218" t="s">
        <v>2037</v>
      </c>
      <c r="C24" s="146" t="s">
        <v>110</v>
      </c>
      <c r="D24" s="134" t="s">
        <v>380</v>
      </c>
      <c r="E24" s="132" t="s">
        <v>144</v>
      </c>
    </row>
    <row r="25" spans="1:5" s="138" customFormat="1" ht="51" x14ac:dyDescent="0.2">
      <c r="A25" s="159"/>
      <c r="B25" s="212"/>
      <c r="C25" s="140" t="s">
        <v>26</v>
      </c>
      <c r="D25" s="144" t="s">
        <v>20</v>
      </c>
      <c r="E25" s="145">
        <v>17</v>
      </c>
    </row>
    <row r="26" spans="1:5" s="139" customFormat="1" ht="38.25" x14ac:dyDescent="0.2">
      <c r="A26" s="157"/>
      <c r="B26" s="218"/>
      <c r="C26" s="146" t="s">
        <v>143</v>
      </c>
      <c r="D26" s="134" t="s">
        <v>0</v>
      </c>
      <c r="E26" s="132">
        <v>18</v>
      </c>
    </row>
    <row r="27" spans="1:5" s="139" customFormat="1" ht="63.75" x14ac:dyDescent="0.2">
      <c r="A27" s="159"/>
      <c r="B27" s="212"/>
      <c r="C27" s="131" t="s">
        <v>142</v>
      </c>
      <c r="D27" s="134" t="s">
        <v>146</v>
      </c>
      <c r="E27" s="132">
        <v>61</v>
      </c>
    </row>
    <row r="28" spans="1:5" s="138" customFormat="1" x14ac:dyDescent="0.2">
      <c r="A28" s="159"/>
      <c r="B28" s="212"/>
      <c r="C28" s="140" t="s">
        <v>3</v>
      </c>
      <c r="D28" s="141" t="s">
        <v>4</v>
      </c>
      <c r="E28" s="142">
        <v>6</v>
      </c>
    </row>
    <row r="29" spans="1:5" s="139" customFormat="1" x14ac:dyDescent="0.2">
      <c r="A29" s="157"/>
      <c r="B29" s="218"/>
      <c r="C29" s="146" t="s">
        <v>1010</v>
      </c>
      <c r="D29" s="133" t="s">
        <v>1</v>
      </c>
      <c r="E29" s="147">
        <v>1</v>
      </c>
    </row>
    <row r="30" spans="1:5" s="138" customFormat="1" ht="51" x14ac:dyDescent="0.2">
      <c r="A30" s="159"/>
      <c r="B30" s="212"/>
      <c r="C30" s="140" t="s">
        <v>145</v>
      </c>
      <c r="D30" s="141" t="s">
        <v>2</v>
      </c>
      <c r="E30" s="142">
        <v>4</v>
      </c>
    </row>
    <row r="31" spans="1:5" s="139" customFormat="1" x14ac:dyDescent="0.2">
      <c r="A31" s="157"/>
      <c r="B31" s="218" t="s">
        <v>2038</v>
      </c>
      <c r="C31" s="146" t="s">
        <v>5</v>
      </c>
      <c r="D31" s="134" t="s">
        <v>6</v>
      </c>
      <c r="E31" s="132">
        <v>8</v>
      </c>
    </row>
    <row r="32" spans="1:5" s="138" customFormat="1" ht="38.25" x14ac:dyDescent="0.2">
      <c r="A32" s="159"/>
      <c r="B32" s="213"/>
      <c r="C32" s="140" t="s">
        <v>27</v>
      </c>
      <c r="D32" s="149" t="s">
        <v>28</v>
      </c>
      <c r="E32" s="145" t="s">
        <v>685</v>
      </c>
    </row>
    <row r="33" spans="1:5" s="138" customFormat="1" ht="51" x14ac:dyDescent="0.2">
      <c r="A33" s="157"/>
      <c r="B33" s="207" t="s">
        <v>1273</v>
      </c>
      <c r="C33" s="143" t="s">
        <v>944</v>
      </c>
      <c r="D33" s="150" t="s">
        <v>12</v>
      </c>
      <c r="E33" s="145">
        <v>1</v>
      </c>
    </row>
    <row r="34" spans="1:5" s="139" customFormat="1" ht="38.25" x14ac:dyDescent="0.2">
      <c r="A34" s="157"/>
      <c r="B34" s="208"/>
      <c r="C34" s="131" t="s">
        <v>8</v>
      </c>
      <c r="D34" s="134" t="s">
        <v>7</v>
      </c>
      <c r="E34" s="132">
        <v>36</v>
      </c>
    </row>
    <row r="35" spans="1:5" s="138" customFormat="1" x14ac:dyDescent="0.2">
      <c r="A35" s="159"/>
      <c r="B35" s="208"/>
      <c r="C35" s="140" t="s">
        <v>14</v>
      </c>
      <c r="D35" s="150" t="s">
        <v>15</v>
      </c>
      <c r="E35" s="151">
        <v>3</v>
      </c>
    </row>
    <row r="36" spans="1:5" s="139" customFormat="1" x14ac:dyDescent="0.2">
      <c r="A36" s="157"/>
      <c r="B36" s="208"/>
      <c r="C36" s="146" t="s">
        <v>13</v>
      </c>
      <c r="D36" s="135" t="s">
        <v>41</v>
      </c>
      <c r="E36" s="155">
        <v>9</v>
      </c>
    </row>
    <row r="37" spans="1:5" s="139" customFormat="1" ht="51" x14ac:dyDescent="0.2">
      <c r="A37" s="157"/>
      <c r="B37" s="208"/>
      <c r="C37" s="146" t="s">
        <v>21</v>
      </c>
      <c r="D37" s="134" t="s">
        <v>20</v>
      </c>
      <c r="E37" s="132">
        <v>15</v>
      </c>
    </row>
    <row r="38" spans="1:5" s="138" customFormat="1" ht="25.5" x14ac:dyDescent="0.2">
      <c r="A38" s="159"/>
      <c r="B38" s="208"/>
      <c r="C38" s="143" t="s">
        <v>9</v>
      </c>
      <c r="D38" s="144" t="s">
        <v>1682</v>
      </c>
      <c r="E38" s="145">
        <v>15</v>
      </c>
    </row>
    <row r="39" spans="1:5" s="138" customFormat="1" x14ac:dyDescent="0.2">
      <c r="A39" s="159"/>
      <c r="B39" s="208"/>
      <c r="C39" s="143" t="s">
        <v>1876</v>
      </c>
      <c r="D39" s="144" t="s">
        <v>43</v>
      </c>
      <c r="E39" s="145">
        <v>1</v>
      </c>
    </row>
    <row r="40" spans="1:5" s="138" customFormat="1" ht="25.5" x14ac:dyDescent="0.2">
      <c r="A40" s="159"/>
      <c r="B40" s="209"/>
      <c r="C40" s="140" t="s">
        <v>10</v>
      </c>
      <c r="D40" s="144" t="s">
        <v>11</v>
      </c>
      <c r="E40" s="145">
        <v>5</v>
      </c>
    </row>
    <row r="41" spans="1:5" s="139" customFormat="1" ht="21" customHeight="1" x14ac:dyDescent="0.2">
      <c r="A41" s="157"/>
      <c r="B41" s="205" t="s">
        <v>29</v>
      </c>
      <c r="C41" s="206"/>
      <c r="D41" s="206"/>
      <c r="E41" s="206"/>
    </row>
    <row r="42" spans="1:5" s="136" customFormat="1" ht="14.25" x14ac:dyDescent="0.2">
      <c r="A42" s="156"/>
      <c r="B42" s="210" t="s">
        <v>30</v>
      </c>
      <c r="C42" s="211"/>
      <c r="D42" s="135" t="s">
        <v>42</v>
      </c>
      <c r="E42" s="220"/>
    </row>
    <row r="43" spans="1:5" s="136" customFormat="1" ht="38.25" x14ac:dyDescent="0.2">
      <c r="A43" s="156"/>
      <c r="B43" s="210" t="s">
        <v>33</v>
      </c>
      <c r="C43" s="211"/>
      <c r="D43" s="131" t="s">
        <v>34</v>
      </c>
      <c r="E43" s="221"/>
    </row>
    <row r="44" spans="1:5" s="136" customFormat="1" ht="25.5" x14ac:dyDescent="0.2">
      <c r="A44" s="156"/>
      <c r="B44" s="212" t="s">
        <v>35</v>
      </c>
      <c r="C44" s="211"/>
      <c r="D44" s="131" t="s">
        <v>36</v>
      </c>
      <c r="E44" s="221"/>
    </row>
    <row r="45" spans="1:5" ht="89.25" x14ac:dyDescent="0.2">
      <c r="A45" s="156"/>
      <c r="B45" s="213"/>
      <c r="C45" s="211"/>
      <c r="D45" s="143" t="s">
        <v>37</v>
      </c>
      <c r="E45" s="221"/>
    </row>
    <row r="46" spans="1:5" s="136" customFormat="1" ht="14.25" x14ac:dyDescent="0.2">
      <c r="A46" s="156"/>
      <c r="B46" s="219" t="s">
        <v>39</v>
      </c>
      <c r="C46" s="211"/>
      <c r="D46" s="135" t="s">
        <v>40</v>
      </c>
      <c r="E46" s="222"/>
    </row>
  </sheetData>
  <mergeCells count="13">
    <mergeCell ref="B46:C46"/>
    <mergeCell ref="E42:E46"/>
    <mergeCell ref="B41:E41"/>
    <mergeCell ref="B3:E3"/>
    <mergeCell ref="B33:B40"/>
    <mergeCell ref="B42:C42"/>
    <mergeCell ref="B43:C43"/>
    <mergeCell ref="B44:C45"/>
    <mergeCell ref="B4:B12"/>
    <mergeCell ref="B14:B21"/>
    <mergeCell ref="B24:B30"/>
    <mergeCell ref="B22:B23"/>
    <mergeCell ref="B31:B32"/>
  </mergeCells>
  <phoneticPr fontId="5" type="noConversion"/>
  <pageMargins left="0.74803149606299213" right="0.74803149606299213" top="0.98425196850393704" bottom="0.98425196850393704" header="0.51181102362204722" footer="0.51181102362204722"/>
  <pageSetup paperSize="8" scale="87" orientation="landscape" r:id="rId1"/>
  <headerFooter alignWithMargins="0"/>
  <rowBreaks count="1" manualBreakCount="1">
    <brk id="2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E25"/>
  <sheetViews>
    <sheetView showGridLines="0" showRowColHeaders="0" zoomScale="90" zoomScaleNormal="90" workbookViewId="0"/>
  </sheetViews>
  <sheetFormatPr defaultRowHeight="14.25" x14ac:dyDescent="0.2"/>
  <cols>
    <col min="1" max="1" width="1.25" customWidth="1"/>
    <col min="2" max="2" width="1" customWidth="1"/>
    <col min="3" max="3" width="21.625" customWidth="1"/>
    <col min="4" max="4" width="143.5" customWidth="1"/>
    <col min="5" max="5" width="1" customWidth="1"/>
  </cols>
  <sheetData>
    <row r="1" spans="2:5" ht="7.5" customHeight="1" thickBot="1" x14ac:dyDescent="0.25">
      <c r="C1" s="25"/>
      <c r="D1" s="25"/>
    </row>
    <row r="2" spans="2:5" ht="30.75" thickTop="1" x14ac:dyDescent="0.4">
      <c r="B2" s="20"/>
      <c r="C2" s="166" t="s">
        <v>389</v>
      </c>
      <c r="D2" s="167"/>
      <c r="E2" s="49"/>
    </row>
    <row r="3" spans="2:5" ht="11.1" customHeight="1" x14ac:dyDescent="0.25">
      <c r="B3" s="22"/>
      <c r="C3" s="2"/>
      <c r="D3" s="39"/>
      <c r="E3" s="21"/>
    </row>
    <row r="4" spans="2:5" ht="54.75" customHeight="1" x14ac:dyDescent="0.25">
      <c r="B4" s="22"/>
      <c r="C4" s="1" t="s">
        <v>1726</v>
      </c>
      <c r="D4" s="170"/>
      <c r="E4" s="21"/>
    </row>
    <row r="5" spans="2:5" ht="10.5" customHeight="1" x14ac:dyDescent="0.25">
      <c r="B5" s="22"/>
      <c r="C5" s="2"/>
      <c r="D5" s="39"/>
      <c r="E5" s="21"/>
    </row>
    <row r="6" spans="2:5" ht="52.5" customHeight="1" x14ac:dyDescent="0.25">
      <c r="B6" s="22"/>
      <c r="C6" s="174" t="s">
        <v>390</v>
      </c>
      <c r="D6" s="175"/>
      <c r="E6" s="21"/>
    </row>
    <row r="7" spans="2:5" ht="10.5" customHeight="1" x14ac:dyDescent="0.25">
      <c r="B7" s="22"/>
      <c r="C7" s="2"/>
      <c r="D7" s="39"/>
      <c r="E7" s="21"/>
    </row>
    <row r="8" spans="2:5" ht="54.75" customHeight="1" x14ac:dyDescent="0.25">
      <c r="B8" s="22"/>
      <c r="C8" s="174" t="s">
        <v>396</v>
      </c>
      <c r="D8" s="175"/>
      <c r="E8" s="21"/>
    </row>
    <row r="9" spans="2:5" ht="10.5" customHeight="1" x14ac:dyDescent="0.25">
      <c r="B9" s="22"/>
      <c r="C9" s="2"/>
      <c r="D9" s="39"/>
      <c r="E9" s="21"/>
    </row>
    <row r="10" spans="2:5" ht="36.75" customHeight="1" x14ac:dyDescent="0.25">
      <c r="B10" s="22"/>
      <c r="C10" s="174" t="s">
        <v>1419</v>
      </c>
      <c r="D10" s="175"/>
      <c r="E10" s="21"/>
    </row>
    <row r="11" spans="2:5" ht="11.25" customHeight="1" x14ac:dyDescent="0.25">
      <c r="B11" s="22"/>
      <c r="C11" s="115"/>
      <c r="D11" s="115"/>
      <c r="E11" s="21"/>
    </row>
    <row r="12" spans="2:5" ht="27" customHeight="1" x14ac:dyDescent="0.2">
      <c r="B12" s="22"/>
      <c r="C12" s="176" t="s">
        <v>397</v>
      </c>
      <c r="D12" s="176"/>
      <c r="E12" s="21"/>
    </row>
    <row r="13" spans="2:5" ht="53.25" customHeight="1" x14ac:dyDescent="0.2">
      <c r="B13" s="22"/>
      <c r="C13" s="177" t="s">
        <v>398</v>
      </c>
      <c r="D13" s="177"/>
      <c r="E13" s="21"/>
    </row>
    <row r="14" spans="2:5" ht="27" customHeight="1" x14ac:dyDescent="0.2">
      <c r="B14" s="22"/>
      <c r="C14" s="177" t="s">
        <v>399</v>
      </c>
      <c r="D14" s="177"/>
      <c r="E14" s="21"/>
    </row>
    <row r="15" spans="2:5" ht="36.75" customHeight="1" x14ac:dyDescent="0.2">
      <c r="B15" s="22"/>
      <c r="C15" s="177" t="s">
        <v>400</v>
      </c>
      <c r="D15" s="177"/>
      <c r="E15" s="21"/>
    </row>
    <row r="16" spans="2:5" ht="10.5" customHeight="1" x14ac:dyDescent="0.25">
      <c r="B16" s="22"/>
      <c r="C16" s="115"/>
      <c r="D16" s="115"/>
      <c r="E16" s="21"/>
    </row>
    <row r="17" spans="2:5" ht="91.5" customHeight="1" x14ac:dyDescent="0.2">
      <c r="B17" s="22"/>
      <c r="C17" s="176" t="s">
        <v>104</v>
      </c>
      <c r="D17" s="176"/>
      <c r="E17" s="21"/>
    </row>
    <row r="18" spans="2:5" ht="11.1" customHeight="1" x14ac:dyDescent="0.25">
      <c r="B18" s="22"/>
      <c r="C18" s="2"/>
      <c r="D18" s="39"/>
      <c r="E18" s="21"/>
    </row>
    <row r="19" spans="2:5" ht="72" customHeight="1" x14ac:dyDescent="0.25">
      <c r="B19" s="22"/>
      <c r="C19" s="1" t="s">
        <v>411</v>
      </c>
      <c r="D19" s="161"/>
      <c r="E19" s="21"/>
    </row>
    <row r="20" spans="2:5" ht="10.5" customHeight="1" x14ac:dyDescent="0.25">
      <c r="B20" s="22"/>
      <c r="C20" s="2"/>
      <c r="D20" s="114"/>
      <c r="E20" s="21"/>
    </row>
    <row r="21" spans="2:5" ht="127.5" customHeight="1" x14ac:dyDescent="0.25">
      <c r="B21" s="22"/>
      <c r="C21" s="1" t="s">
        <v>108</v>
      </c>
      <c r="D21" s="161"/>
      <c r="E21" s="21"/>
    </row>
    <row r="22" spans="2:5" ht="10.5" customHeight="1" x14ac:dyDescent="0.25">
      <c r="B22" s="22"/>
      <c r="C22" s="2"/>
      <c r="D22" s="114"/>
      <c r="E22" s="21"/>
    </row>
    <row r="23" spans="2:5" ht="73.5" customHeight="1" x14ac:dyDescent="0.25">
      <c r="B23" s="22"/>
      <c r="C23" s="1" t="s">
        <v>105</v>
      </c>
      <c r="D23" s="161"/>
      <c r="E23" s="21"/>
    </row>
    <row r="24" spans="2:5" ht="7.5" customHeight="1" thickBot="1" x14ac:dyDescent="0.25">
      <c r="B24" s="23"/>
      <c r="C24" s="29"/>
      <c r="D24" s="29"/>
      <c r="E24" s="24"/>
    </row>
    <row r="25" spans="2:5" ht="15" thickTop="1" x14ac:dyDescent="0.2"/>
  </sheetData>
  <mergeCells count="13">
    <mergeCell ref="C23:D23"/>
    <mergeCell ref="C10:D10"/>
    <mergeCell ref="C19:D19"/>
    <mergeCell ref="C13:D13"/>
    <mergeCell ref="C14:D14"/>
    <mergeCell ref="C15:D15"/>
    <mergeCell ref="C17:D17"/>
    <mergeCell ref="C21:D21"/>
    <mergeCell ref="C2:D2"/>
    <mergeCell ref="C4:D4"/>
    <mergeCell ref="C6:D6"/>
    <mergeCell ref="C8:D8"/>
    <mergeCell ref="C12:D12"/>
  </mergeCells>
  <phoneticPr fontId="5" type="noConversion"/>
  <pageMargins left="0.7" right="0.7" top="0.75" bottom="0.75" header="0.3" footer="0.3"/>
  <pageSetup paperSize="8"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heetPr>
  <dimension ref="A1:X277"/>
  <sheetViews>
    <sheetView showGridLines="0" zoomScale="80" zoomScaleNormal="80" workbookViewId="0">
      <pane xSplit="4" ySplit="2" topLeftCell="E3" activePane="bottomRight" state="frozen"/>
      <selection pane="topRight" activeCell="E1" sqref="E1"/>
      <selection pane="bottomLeft" activeCell="A3" sqref="A3"/>
      <selection pane="bottomRight" sqref="A1:A2"/>
    </sheetView>
  </sheetViews>
  <sheetFormatPr defaultRowHeight="14.25" outlineLevelRow="2" x14ac:dyDescent="0.2"/>
  <cols>
    <col min="1" max="1" width="12.625" style="79" customWidth="1"/>
    <col min="2" max="2" width="14.125" style="79" customWidth="1"/>
    <col min="3" max="3" width="8.5" style="79" customWidth="1"/>
    <col min="4" max="4" width="43.25" style="79" customWidth="1"/>
    <col min="5" max="5" width="15" style="79" customWidth="1"/>
    <col min="6" max="6" width="16" style="79" customWidth="1"/>
    <col min="7" max="7" width="15.75" style="79" customWidth="1"/>
    <col min="8" max="8" width="12.5" style="81" bestFit="1" customWidth="1"/>
    <col min="9" max="9" width="10" style="81" customWidth="1"/>
    <col min="10" max="10" width="12.5" style="82" bestFit="1" customWidth="1"/>
    <col min="11" max="11" width="12.5" style="81" bestFit="1" customWidth="1"/>
    <col min="12" max="12" width="10" style="81" customWidth="1"/>
    <col min="13" max="13" width="12.5" style="82" bestFit="1" customWidth="1"/>
    <col min="14" max="14" width="12.5" style="81" bestFit="1" customWidth="1"/>
    <col min="15" max="15" width="10" style="81" customWidth="1"/>
    <col min="16" max="16" width="12.5" style="82" bestFit="1" customWidth="1"/>
    <col min="17" max="17" width="46.125" style="79" customWidth="1"/>
    <col min="18" max="18" width="12.5" style="79" customWidth="1"/>
    <col min="19" max="19" width="78.25" style="79" customWidth="1"/>
    <col min="20" max="20" width="10.125" style="79" customWidth="1"/>
    <col min="21" max="21" width="20.875" style="79" customWidth="1"/>
    <col min="25" max="16384" width="9" style="79"/>
  </cols>
  <sheetData>
    <row r="1" spans="1:24" s="51" customFormat="1" ht="31.5" customHeight="1" x14ac:dyDescent="0.2">
      <c r="A1" s="182" t="s">
        <v>715</v>
      </c>
      <c r="B1" s="178" t="s">
        <v>716</v>
      </c>
      <c r="C1" s="178" t="s">
        <v>1409</v>
      </c>
      <c r="D1" s="178" t="s">
        <v>717</v>
      </c>
      <c r="E1" s="178" t="s">
        <v>644</v>
      </c>
      <c r="F1" s="178" t="s">
        <v>1778</v>
      </c>
      <c r="G1" s="178"/>
      <c r="H1" s="178" t="s">
        <v>1480</v>
      </c>
      <c r="I1" s="178"/>
      <c r="J1" s="178"/>
      <c r="K1" s="178" t="s">
        <v>1907</v>
      </c>
      <c r="L1" s="178"/>
      <c r="M1" s="178"/>
      <c r="N1" s="178" t="s">
        <v>1908</v>
      </c>
      <c r="O1" s="178"/>
      <c r="P1" s="178"/>
      <c r="Q1" s="178" t="s">
        <v>643</v>
      </c>
      <c r="R1" s="178" t="s">
        <v>966</v>
      </c>
      <c r="S1" s="178" t="s">
        <v>1408</v>
      </c>
      <c r="T1" s="178" t="s">
        <v>68</v>
      </c>
      <c r="U1" s="185"/>
      <c r="V1"/>
      <c r="W1"/>
      <c r="X1"/>
    </row>
    <row r="2" spans="1:24" s="51" customFormat="1" ht="30" customHeight="1" collapsed="1" x14ac:dyDescent="0.2">
      <c r="A2" s="183"/>
      <c r="B2" s="184"/>
      <c r="C2" s="184"/>
      <c r="D2" s="184"/>
      <c r="E2" s="184"/>
      <c r="F2" s="107" t="s">
        <v>672</v>
      </c>
      <c r="G2" s="107" t="s">
        <v>673</v>
      </c>
      <c r="H2" s="107" t="s">
        <v>718</v>
      </c>
      <c r="I2" s="107" t="s">
        <v>648</v>
      </c>
      <c r="J2" s="107" t="s">
        <v>1403</v>
      </c>
      <c r="K2" s="107" t="s">
        <v>718</v>
      </c>
      <c r="L2" s="107" t="s">
        <v>648</v>
      </c>
      <c r="M2" s="107" t="s">
        <v>1403</v>
      </c>
      <c r="N2" s="107" t="s">
        <v>718</v>
      </c>
      <c r="O2" s="107" t="s">
        <v>648</v>
      </c>
      <c r="P2" s="107" t="s">
        <v>1403</v>
      </c>
      <c r="Q2" s="184"/>
      <c r="R2" s="184"/>
      <c r="S2" s="184"/>
      <c r="T2" s="108" t="s">
        <v>1910</v>
      </c>
      <c r="U2" s="109" t="s">
        <v>1909</v>
      </c>
      <c r="V2"/>
      <c r="W2"/>
      <c r="X2"/>
    </row>
    <row r="3" spans="1:24" s="40" customFormat="1" ht="60" customHeight="1" collapsed="1" x14ac:dyDescent="0.2">
      <c r="A3" s="100" t="s">
        <v>645</v>
      </c>
      <c r="B3" s="100" t="s">
        <v>622</v>
      </c>
      <c r="C3" s="100" t="s">
        <v>1481</v>
      </c>
      <c r="D3" s="100" t="s">
        <v>1482</v>
      </c>
      <c r="E3" s="101" t="s">
        <v>637</v>
      </c>
      <c r="F3" s="101" t="s">
        <v>1348</v>
      </c>
      <c r="G3" s="101" t="s">
        <v>1384</v>
      </c>
      <c r="H3" s="102">
        <v>500</v>
      </c>
      <c r="I3" s="17" t="s">
        <v>656</v>
      </c>
      <c r="J3" s="104">
        <f>IF(H3&gt;0,(H3*VLOOKUP(Lookups!$K$11,Lookups!$M$10:$P$40,4,0)/VLOOKUP(I3,Lookups!$M$10:$P$40,4,0)),"")</f>
        <v>673.23121831555954</v>
      </c>
      <c r="K3" s="102"/>
      <c r="L3" s="103"/>
      <c r="M3" s="104" t="str">
        <f>IF(K3&gt;0,(K3*VLOOKUP(Lookups!$K$11,Lookups!$M$10:$P$40,4,0)/VLOOKUP(L3,Lookups!$M$10:$P$40,4,0)),"")</f>
        <v/>
      </c>
      <c r="N3" s="102"/>
      <c r="O3" s="103"/>
      <c r="P3" s="104" t="str">
        <f>IF(N3&gt;0,(N3*VLOOKUP(Lookups!$K$11,Lookups!$M$10:$P$40,4,0)/VLOOKUP(O3,Lookups!$M$10:$P$40,4,0)),"")</f>
        <v/>
      </c>
      <c r="Q3" s="105" t="s">
        <v>1407</v>
      </c>
      <c r="R3" s="106" t="s">
        <v>616</v>
      </c>
      <c r="S3" s="101" t="s">
        <v>2507</v>
      </c>
      <c r="T3" s="13"/>
      <c r="U3" s="120" t="s">
        <v>56</v>
      </c>
      <c r="V3"/>
      <c r="W3"/>
      <c r="X3"/>
    </row>
    <row r="4" spans="1:24" s="40" customFormat="1" ht="60" hidden="1" customHeight="1" outlineLevel="1" x14ac:dyDescent="0.2">
      <c r="A4" s="46" t="s">
        <v>645</v>
      </c>
      <c r="B4" s="46" t="s">
        <v>622</v>
      </c>
      <c r="C4" s="46" t="s">
        <v>1483</v>
      </c>
      <c r="D4" s="46" t="s">
        <v>1484</v>
      </c>
      <c r="E4" s="13" t="s">
        <v>637</v>
      </c>
      <c r="F4" s="13" t="s">
        <v>1348</v>
      </c>
      <c r="G4" s="13"/>
      <c r="H4" s="15">
        <v>35</v>
      </c>
      <c r="I4" s="17" t="s">
        <v>656</v>
      </c>
      <c r="J4" s="19">
        <f>IF(H4&gt;0,(H4*VLOOKUP(Lookups!$K$11,Lookups!$M$10:$P$40,4,0)/VLOOKUP(I4,Lookups!$M$10:$P$40,4,0)),"")</f>
        <v>47.126185282089168</v>
      </c>
      <c r="K4" s="15"/>
      <c r="L4" s="17"/>
      <c r="M4" s="19" t="str">
        <f>IF(K4&gt;0,(K4*VLOOKUP(Lookups!$K$11,Lookups!$M$10:$P$40,4,0)/VLOOKUP(L4,Lookups!$M$10:$P$40,4,0)),"")</f>
        <v/>
      </c>
      <c r="N4" s="15"/>
      <c r="O4" s="17"/>
      <c r="P4" s="19" t="str">
        <f>IF(N4&gt;0,(N4*VLOOKUP(Lookups!$K$11,Lookups!$M$10:$P$40,4,0)/VLOOKUP(O4,Lookups!$M$10:$P$40,4,0)),"")</f>
        <v/>
      </c>
      <c r="Q4" s="36" t="s">
        <v>1407</v>
      </c>
      <c r="R4" s="38" t="s">
        <v>616</v>
      </c>
      <c r="S4" s="13" t="s">
        <v>2508</v>
      </c>
      <c r="T4" s="13"/>
      <c r="U4" s="13"/>
      <c r="V4"/>
      <c r="W4"/>
      <c r="X4"/>
    </row>
    <row r="5" spans="1:24" s="40" customFormat="1" ht="60" hidden="1" customHeight="1" outlineLevel="1" x14ac:dyDescent="0.2">
      <c r="A5" s="46" t="s">
        <v>645</v>
      </c>
      <c r="B5" s="46" t="s">
        <v>622</v>
      </c>
      <c r="C5" s="46" t="s">
        <v>1485</v>
      </c>
      <c r="D5" s="46" t="s">
        <v>1486</v>
      </c>
      <c r="E5" s="13" t="s">
        <v>873</v>
      </c>
      <c r="F5" s="13" t="s">
        <v>679</v>
      </c>
      <c r="G5" s="13" t="s">
        <v>627</v>
      </c>
      <c r="H5" s="15">
        <v>66</v>
      </c>
      <c r="I5" s="17" t="s">
        <v>660</v>
      </c>
      <c r="J5" s="19">
        <f>IF(H5&gt;0,(H5*VLOOKUP(Lookups!$K$11,Lookups!$M$10:$P$40,4,0)/VLOOKUP(I5,Lookups!$M$10:$P$40,4,0)),"")</f>
        <v>79.968355632819012</v>
      </c>
      <c r="K5" s="15"/>
      <c r="L5" s="17"/>
      <c r="M5" s="19" t="str">
        <f>IF(K5&gt;0,(K5*VLOOKUP(Lookups!$K$11,Lookups!$M$10:$P$40,4,0)/VLOOKUP(L5,Lookups!$M$10:$P$40,4,0)),"")</f>
        <v/>
      </c>
      <c r="N5" s="15"/>
      <c r="O5" s="17"/>
      <c r="P5" s="19" t="str">
        <f>IF(N5&gt;0,(N5*VLOOKUP(Lookups!$K$11,Lookups!$M$10:$P$40,4,0)/VLOOKUP(O5,Lookups!$M$10:$P$40,4,0)),"")</f>
        <v/>
      </c>
      <c r="Q5" s="78" t="s">
        <v>1487</v>
      </c>
      <c r="R5" s="38" t="s">
        <v>619</v>
      </c>
      <c r="S5" s="13" t="s">
        <v>1488</v>
      </c>
      <c r="T5" s="13"/>
      <c r="U5" s="13"/>
      <c r="V5"/>
      <c r="W5"/>
      <c r="X5"/>
    </row>
    <row r="6" spans="1:24" s="40" customFormat="1" ht="60" hidden="1" customHeight="1" outlineLevel="1" x14ac:dyDescent="0.2">
      <c r="A6" s="46" t="s">
        <v>645</v>
      </c>
      <c r="B6" s="46" t="s">
        <v>622</v>
      </c>
      <c r="C6" s="46" t="s">
        <v>2064</v>
      </c>
      <c r="D6" s="46" t="s">
        <v>1489</v>
      </c>
      <c r="E6" s="13" t="s">
        <v>615</v>
      </c>
      <c r="F6" s="13" t="s">
        <v>614</v>
      </c>
      <c r="G6" s="13" t="s">
        <v>667</v>
      </c>
      <c r="H6" s="15">
        <v>230</v>
      </c>
      <c r="I6" s="17" t="s">
        <v>660</v>
      </c>
      <c r="J6" s="19">
        <f>IF(H6&gt;0,(H6*VLOOKUP(Lookups!$K$11,Lookups!$M$10:$P$40,4,0)/VLOOKUP(I6,Lookups!$M$10:$P$40,4,0)),"")</f>
        <v>278.67760296285417</v>
      </c>
      <c r="K6" s="15"/>
      <c r="L6" s="17"/>
      <c r="M6" s="19" t="str">
        <f>IF(K6&gt;0,(K6*VLOOKUP(Lookups!$K$11,Lookups!$M$10:$P$40,4,0)/VLOOKUP(L6,Lookups!$M$10:$P$40,4,0)),"")</f>
        <v/>
      </c>
      <c r="N6" s="15"/>
      <c r="O6" s="17"/>
      <c r="P6" s="19" t="str">
        <f>IF(N6&gt;0,(N6*VLOOKUP(Lookups!$K$11,Lookups!$M$10:$P$40,4,0)/VLOOKUP(O6,Lookups!$M$10:$P$40,4,0)),"")</f>
        <v/>
      </c>
      <c r="Q6" s="78" t="s">
        <v>1487</v>
      </c>
      <c r="R6" s="38" t="s">
        <v>619</v>
      </c>
      <c r="S6" s="13" t="s">
        <v>1490</v>
      </c>
      <c r="T6" s="13"/>
      <c r="U6" s="120" t="s">
        <v>55</v>
      </c>
      <c r="V6"/>
      <c r="W6"/>
      <c r="X6"/>
    </row>
    <row r="7" spans="1:24" s="40" customFormat="1" ht="60" hidden="1" customHeight="1" outlineLevel="1" x14ac:dyDescent="0.2">
      <c r="A7" s="46" t="s">
        <v>645</v>
      </c>
      <c r="B7" s="46" t="s">
        <v>622</v>
      </c>
      <c r="C7" s="46" t="s">
        <v>2065</v>
      </c>
      <c r="D7" s="46" t="s">
        <v>1491</v>
      </c>
      <c r="E7" s="13" t="s">
        <v>873</v>
      </c>
      <c r="F7" s="13" t="s">
        <v>679</v>
      </c>
      <c r="G7" s="13"/>
      <c r="H7" s="15">
        <v>105</v>
      </c>
      <c r="I7" s="17" t="s">
        <v>657</v>
      </c>
      <c r="J7" s="19">
        <f>IF(H7&gt;0,(H7*VLOOKUP(Lookups!$K$11,Lookups!$M$10:$P$40,4,0)/VLOOKUP(I7,Lookups!$M$10:$P$40,4,0)),"")</f>
        <v>138.55752464450538</v>
      </c>
      <c r="K7" s="15"/>
      <c r="L7" s="17"/>
      <c r="M7" s="19" t="str">
        <f>IF(K7&gt;0,(K7*VLOOKUP(Lookups!$K$11,Lookups!$M$10:$P$40,4,0)/VLOOKUP(L7,Lookups!$M$10:$P$40,4,0)),"")</f>
        <v/>
      </c>
      <c r="N7" s="15"/>
      <c r="O7" s="17"/>
      <c r="P7" s="19" t="str">
        <f>IF(N7&gt;0,(N7*VLOOKUP(Lookups!$K$11,Lookups!$M$10:$P$40,4,0)/VLOOKUP(O7,Lookups!$M$10:$P$40,4,0)),"")</f>
        <v/>
      </c>
      <c r="Q7" s="78" t="s">
        <v>1492</v>
      </c>
      <c r="R7" s="38" t="s">
        <v>619</v>
      </c>
      <c r="S7" s="13" t="s">
        <v>2260</v>
      </c>
      <c r="T7" s="13"/>
      <c r="U7" s="120" t="s">
        <v>2071</v>
      </c>
      <c r="V7"/>
      <c r="W7"/>
      <c r="X7"/>
    </row>
    <row r="8" spans="1:24" s="90" customFormat="1" ht="60" hidden="1" customHeight="1" outlineLevel="2" x14ac:dyDescent="0.2">
      <c r="A8" s="37" t="s">
        <v>645</v>
      </c>
      <c r="B8" s="37" t="s">
        <v>622</v>
      </c>
      <c r="C8" s="37" t="s">
        <v>2067</v>
      </c>
      <c r="D8" s="45" t="s">
        <v>1493</v>
      </c>
      <c r="E8" s="37" t="s">
        <v>873</v>
      </c>
      <c r="F8" s="37" t="s">
        <v>679</v>
      </c>
      <c r="G8" s="37"/>
      <c r="H8" s="89">
        <v>197</v>
      </c>
      <c r="I8" s="17" t="s">
        <v>657</v>
      </c>
      <c r="J8" s="19">
        <f>IF(H8&gt;0,(H8*VLOOKUP(Lookups!$K$11,Lookups!$M$10:$P$40,4,0)/VLOOKUP(I8,Lookups!$M$10:$P$40,4,0)),"")</f>
        <v>259.96030814254823</v>
      </c>
      <c r="K8" s="89"/>
      <c r="L8" s="17"/>
      <c r="M8" s="19" t="str">
        <f>IF(K8&gt;0,(K8*VLOOKUP(Lookups!$K$11,Lookups!$M$10:$P$40,4,0)/VLOOKUP(L8,Lookups!$M$10:$P$40,4,0)),"")</f>
        <v/>
      </c>
      <c r="N8" s="89"/>
      <c r="O8" s="17"/>
      <c r="P8" s="19" t="str">
        <f>IF(N8&gt;0,(N8*VLOOKUP(Lookups!$K$11,Lookups!$M$10:$P$40,4,0)/VLOOKUP(O8,Lookups!$M$10:$P$40,4,0)),"")</f>
        <v/>
      </c>
      <c r="Q8" s="78" t="s">
        <v>1492</v>
      </c>
      <c r="R8" s="38" t="s">
        <v>619</v>
      </c>
      <c r="S8" s="37" t="s">
        <v>1779</v>
      </c>
      <c r="T8" s="37"/>
      <c r="U8" s="120" t="s">
        <v>55</v>
      </c>
      <c r="V8"/>
      <c r="W8"/>
      <c r="X8"/>
    </row>
    <row r="9" spans="1:24" s="90" customFormat="1" ht="60" hidden="1" customHeight="1" outlineLevel="2" x14ac:dyDescent="0.2">
      <c r="A9" s="37" t="s">
        <v>645</v>
      </c>
      <c r="B9" s="37" t="s">
        <v>622</v>
      </c>
      <c r="C9" s="37" t="s">
        <v>2068</v>
      </c>
      <c r="D9" s="45" t="s">
        <v>1494</v>
      </c>
      <c r="E9" s="37" t="s">
        <v>873</v>
      </c>
      <c r="F9" s="37" t="s">
        <v>679</v>
      </c>
      <c r="G9" s="37"/>
      <c r="H9" s="89">
        <v>107</v>
      </c>
      <c r="I9" s="17" t="s">
        <v>657</v>
      </c>
      <c r="J9" s="19">
        <f>IF(H9&gt;0,(H9*VLOOKUP(Lookups!$K$11,Lookups!$M$10:$P$40,4,0)/VLOOKUP(I9,Lookups!$M$10:$P$40,4,0)),"")</f>
        <v>141.19671559011502</v>
      </c>
      <c r="K9" s="89"/>
      <c r="L9" s="17"/>
      <c r="M9" s="19" t="str">
        <f>IF(K9&gt;0,(K9*VLOOKUP(Lookups!$K$11,Lookups!$M$10:$P$40,4,0)/VLOOKUP(L9,Lookups!$M$10:$P$40,4,0)),"")</f>
        <v/>
      </c>
      <c r="N9" s="89"/>
      <c r="O9" s="17"/>
      <c r="P9" s="19" t="str">
        <f>IF(N9&gt;0,(N9*VLOOKUP(Lookups!$K$11,Lookups!$M$10:$P$40,4,0)/VLOOKUP(O9,Lookups!$M$10:$P$40,4,0)),"")</f>
        <v/>
      </c>
      <c r="Q9" s="78" t="s">
        <v>1492</v>
      </c>
      <c r="R9" s="38" t="s">
        <v>619</v>
      </c>
      <c r="S9" s="37" t="s">
        <v>1779</v>
      </c>
      <c r="T9" s="37"/>
      <c r="U9" s="120" t="s">
        <v>55</v>
      </c>
      <c r="V9"/>
      <c r="W9"/>
      <c r="X9"/>
    </row>
    <row r="10" spans="1:24" s="90" customFormat="1" ht="60" hidden="1" customHeight="1" outlineLevel="2" x14ac:dyDescent="0.2">
      <c r="A10" s="37" t="s">
        <v>645</v>
      </c>
      <c r="B10" s="37" t="s">
        <v>622</v>
      </c>
      <c r="C10" s="37" t="s">
        <v>2069</v>
      </c>
      <c r="D10" s="45" t="s">
        <v>1495</v>
      </c>
      <c r="E10" s="37" t="s">
        <v>873</v>
      </c>
      <c r="F10" s="37" t="s">
        <v>679</v>
      </c>
      <c r="G10" s="37"/>
      <c r="H10" s="89">
        <v>104</v>
      </c>
      <c r="I10" s="17" t="s">
        <v>657</v>
      </c>
      <c r="J10" s="19">
        <f>IF(H10&gt;0,(H10*VLOOKUP(Lookups!$K$11,Lookups!$M$10:$P$40,4,0)/VLOOKUP(I10,Lookups!$M$10:$P$40,4,0)),"")</f>
        <v>137.23792917170056</v>
      </c>
      <c r="K10" s="89"/>
      <c r="L10" s="17"/>
      <c r="M10" s="19" t="str">
        <f>IF(K10&gt;0,(K10*VLOOKUP(Lookups!$K$11,Lookups!$M$10:$P$40,4,0)/VLOOKUP(L10,Lookups!$M$10:$P$40,4,0)),"")</f>
        <v/>
      </c>
      <c r="N10" s="89"/>
      <c r="O10" s="17"/>
      <c r="P10" s="19" t="str">
        <f>IF(N10&gt;0,(N10*VLOOKUP(Lookups!$K$11,Lookups!$M$10:$P$40,4,0)/VLOOKUP(O10,Lookups!$M$10:$P$40,4,0)),"")</f>
        <v/>
      </c>
      <c r="Q10" s="78" t="s">
        <v>1492</v>
      </c>
      <c r="R10" s="38" t="s">
        <v>619</v>
      </c>
      <c r="S10" s="37" t="s">
        <v>1779</v>
      </c>
      <c r="T10" s="37"/>
      <c r="U10" s="120" t="s">
        <v>55</v>
      </c>
      <c r="V10"/>
      <c r="W10"/>
      <c r="X10"/>
    </row>
    <row r="11" spans="1:24" s="90" customFormat="1" ht="60" hidden="1" customHeight="1" outlineLevel="2" x14ac:dyDescent="0.2">
      <c r="A11" s="37" t="s">
        <v>645</v>
      </c>
      <c r="B11" s="37" t="s">
        <v>622</v>
      </c>
      <c r="C11" s="37" t="s">
        <v>2070</v>
      </c>
      <c r="D11" s="45" t="s">
        <v>1616</v>
      </c>
      <c r="E11" s="37" t="s">
        <v>873</v>
      </c>
      <c r="F11" s="37" t="s">
        <v>679</v>
      </c>
      <c r="G11" s="37"/>
      <c r="H11" s="89">
        <v>46</v>
      </c>
      <c r="I11" s="17" t="s">
        <v>657</v>
      </c>
      <c r="J11" s="19">
        <f>IF(H11&gt;0,(H11*VLOOKUP(Lookups!$K$11,Lookups!$M$10:$P$40,4,0)/VLOOKUP(I11,Lookups!$M$10:$P$40,4,0)),"")</f>
        <v>60.701391749021404</v>
      </c>
      <c r="K11" s="89"/>
      <c r="L11" s="17"/>
      <c r="M11" s="19" t="str">
        <f>IF(K11&gt;0,(K11*VLOOKUP(Lookups!$K$11,Lookups!$M$10:$P$40,4,0)/VLOOKUP(L11,Lookups!$M$10:$P$40,4,0)),"")</f>
        <v/>
      </c>
      <c r="N11" s="89"/>
      <c r="O11" s="17"/>
      <c r="P11" s="19" t="str">
        <f>IF(N11&gt;0,(N11*VLOOKUP(Lookups!$K$11,Lookups!$M$10:$P$40,4,0)/VLOOKUP(O11,Lookups!$M$10:$P$40,4,0)),"")</f>
        <v/>
      </c>
      <c r="Q11" s="78" t="s">
        <v>1492</v>
      </c>
      <c r="R11" s="38" t="s">
        <v>619</v>
      </c>
      <c r="S11" s="37" t="s">
        <v>1779</v>
      </c>
      <c r="T11" s="37"/>
      <c r="U11" s="120" t="s">
        <v>55</v>
      </c>
      <c r="V11"/>
      <c r="W11"/>
      <c r="X11"/>
    </row>
    <row r="12" spans="1:24" s="40" customFormat="1" ht="60" customHeight="1" collapsed="1" x14ac:dyDescent="0.2">
      <c r="A12" s="42" t="s">
        <v>645</v>
      </c>
      <c r="B12" s="42" t="s">
        <v>646</v>
      </c>
      <c r="C12" s="42" t="s">
        <v>1496</v>
      </c>
      <c r="D12" s="42" t="s">
        <v>2033</v>
      </c>
      <c r="E12" s="13" t="s">
        <v>637</v>
      </c>
      <c r="F12" s="13" t="s">
        <v>712</v>
      </c>
      <c r="G12" s="13"/>
      <c r="H12" s="15">
        <v>2470</v>
      </c>
      <c r="I12" s="17" t="s">
        <v>662</v>
      </c>
      <c r="J12" s="19">
        <f>IF(H12&gt;0,(H12*VLOOKUP(Lookups!$K$11,Lookups!$M$10:$P$40,4,0)/VLOOKUP(I12,Lookups!$M$10:$P$40,4,0)),"")</f>
        <v>2836.4808435360374</v>
      </c>
      <c r="K12" s="15">
        <v>1473</v>
      </c>
      <c r="L12" s="17" t="s">
        <v>662</v>
      </c>
      <c r="M12" s="19">
        <f>IF(K12&gt;0,(K12*VLOOKUP(Lookups!$K$11,Lookups!$M$10:$P$40,4,0)/VLOOKUP(L12,Lookups!$M$10:$P$40,4,0)),"")</f>
        <v>1691.5531508212887</v>
      </c>
      <c r="N12" s="15">
        <v>6795</v>
      </c>
      <c r="O12" s="17" t="s">
        <v>662</v>
      </c>
      <c r="P12" s="19">
        <f>IF(N12&gt;0,(N12*VLOOKUP(Lookups!$K$11,Lookups!$M$10:$P$40,4,0)/VLOOKUP(O12,Lookups!$M$10:$P$40,4,0)),"")</f>
        <v>7803.1932517519726</v>
      </c>
      <c r="Q12" s="95" t="s">
        <v>1756</v>
      </c>
      <c r="R12" s="38" t="s">
        <v>619</v>
      </c>
      <c r="S12" s="13" t="s">
        <v>2509</v>
      </c>
      <c r="T12" s="13" t="s">
        <v>1912</v>
      </c>
      <c r="U12" s="13" t="s">
        <v>59</v>
      </c>
      <c r="V12"/>
      <c r="W12"/>
      <c r="X12"/>
    </row>
    <row r="13" spans="1:24" s="40" customFormat="1" ht="60" hidden="1" customHeight="1" outlineLevel="2" x14ac:dyDescent="0.2">
      <c r="A13" s="37" t="s">
        <v>645</v>
      </c>
      <c r="B13" s="37" t="s">
        <v>646</v>
      </c>
      <c r="C13" s="37" t="s">
        <v>1497</v>
      </c>
      <c r="D13" s="45" t="s">
        <v>1753</v>
      </c>
      <c r="E13" s="13" t="s">
        <v>637</v>
      </c>
      <c r="F13" s="13" t="s">
        <v>629</v>
      </c>
      <c r="G13" s="13" t="s">
        <v>676</v>
      </c>
      <c r="H13" s="15">
        <v>1171</v>
      </c>
      <c r="I13" s="17" t="s">
        <v>662</v>
      </c>
      <c r="J13" s="19">
        <f>IF(H13&gt;0,(H13*VLOOKUP(Lookups!$K$11,Lookups!$M$10:$P$40,4,0)/VLOOKUP(I13,Lookups!$M$10:$P$40,4,0)),"")</f>
        <v>1344.7445618545344</v>
      </c>
      <c r="K13" s="15"/>
      <c r="L13" s="17"/>
      <c r="M13" s="19" t="str">
        <f>IF(K13&gt;0,(K13*VLOOKUP(Lookups!$K$11,Lookups!$M$10:$P$40,4,0)/VLOOKUP(L13,Lookups!$M$10:$P$40,4,0)),"")</f>
        <v/>
      </c>
      <c r="N13" s="15"/>
      <c r="O13" s="17"/>
      <c r="P13" s="19" t="str">
        <f>IF(N13&gt;0,(N13*VLOOKUP(Lookups!$K$11,Lookups!$M$10:$P$40,4,0)/VLOOKUP(O13,Lookups!$M$10:$P$40,4,0)),"")</f>
        <v/>
      </c>
      <c r="Q13" s="95" t="s">
        <v>1756</v>
      </c>
      <c r="R13" s="38" t="s">
        <v>619</v>
      </c>
      <c r="S13" s="13" t="s">
        <v>1758</v>
      </c>
      <c r="T13" s="13"/>
      <c r="U13" s="13"/>
      <c r="V13"/>
      <c r="W13"/>
      <c r="X13"/>
    </row>
    <row r="14" spans="1:24" s="40" customFormat="1" ht="60" hidden="1" customHeight="1" outlineLevel="2" x14ac:dyDescent="0.2">
      <c r="A14" s="37" t="s">
        <v>645</v>
      </c>
      <c r="B14" s="37" t="s">
        <v>646</v>
      </c>
      <c r="C14" s="37" t="s">
        <v>1498</v>
      </c>
      <c r="D14" s="45" t="s">
        <v>1754</v>
      </c>
      <c r="E14" s="13" t="s">
        <v>637</v>
      </c>
      <c r="F14" s="13" t="s">
        <v>614</v>
      </c>
      <c r="G14" s="13"/>
      <c r="H14" s="15">
        <v>581</v>
      </c>
      <c r="I14" s="17" t="s">
        <v>662</v>
      </c>
      <c r="J14" s="19">
        <f>IF(H14&gt;0,(H14*VLOOKUP(Lookups!$K$11,Lookups!$M$10:$P$40,4,0)/VLOOKUP(I14,Lookups!$M$10:$P$40,4,0)),"")</f>
        <v>667.20460327710032</v>
      </c>
      <c r="K14" s="15"/>
      <c r="L14" s="17"/>
      <c r="M14" s="19" t="str">
        <f>IF(K14&gt;0,(K14*VLOOKUP(Lookups!$K$11,Lookups!$M$10:$P$40,4,0)/VLOOKUP(L14,Lookups!$M$10:$P$40,4,0)),"")</f>
        <v/>
      </c>
      <c r="N14" s="15"/>
      <c r="O14" s="17"/>
      <c r="P14" s="19" t="str">
        <f>IF(N14&gt;0,(N14*VLOOKUP(Lookups!$K$11,Lookups!$M$10:$P$40,4,0)/VLOOKUP(O14,Lookups!$M$10:$P$40,4,0)),"")</f>
        <v/>
      </c>
      <c r="Q14" s="95" t="s">
        <v>1756</v>
      </c>
      <c r="R14" s="38" t="s">
        <v>619</v>
      </c>
      <c r="S14" s="13" t="s">
        <v>1757</v>
      </c>
      <c r="T14" s="13"/>
      <c r="U14" s="13"/>
      <c r="V14"/>
      <c r="W14"/>
      <c r="X14"/>
    </row>
    <row r="15" spans="1:24" s="40" customFormat="1" ht="60" hidden="1" customHeight="1" outlineLevel="2" x14ac:dyDescent="0.2">
      <c r="A15" s="37" t="s">
        <v>645</v>
      </c>
      <c r="B15" s="37" t="s">
        <v>646</v>
      </c>
      <c r="C15" s="37" t="s">
        <v>1499</v>
      </c>
      <c r="D15" s="45" t="s">
        <v>1751</v>
      </c>
      <c r="E15" s="13" t="s">
        <v>637</v>
      </c>
      <c r="F15" s="13" t="s">
        <v>1348</v>
      </c>
      <c r="G15" s="13"/>
      <c r="H15" s="15">
        <v>415</v>
      </c>
      <c r="I15" s="17" t="s">
        <v>662</v>
      </c>
      <c r="J15" s="19">
        <f>IF(H15&gt;0,(H15*VLOOKUP(Lookups!$K$11,Lookups!$M$10:$P$40,4,0)/VLOOKUP(I15,Lookups!$M$10:$P$40,4,0)),"")</f>
        <v>476.57471662650022</v>
      </c>
      <c r="K15" s="15"/>
      <c r="L15" s="17"/>
      <c r="M15" s="19" t="str">
        <f>IF(K15&gt;0,(K15*VLOOKUP(Lookups!$K$11,Lookups!$M$10:$P$40,4,0)/VLOOKUP(L15,Lookups!$M$10:$P$40,4,0)),"")</f>
        <v/>
      </c>
      <c r="N15" s="15"/>
      <c r="O15" s="17"/>
      <c r="P15" s="19" t="str">
        <f>IF(N15&gt;0,(N15*VLOOKUP(Lookups!$K$11,Lookups!$M$10:$P$40,4,0)/VLOOKUP(O15,Lookups!$M$10:$P$40,4,0)),"")</f>
        <v/>
      </c>
      <c r="Q15" s="95" t="s">
        <v>1756</v>
      </c>
      <c r="R15" s="38" t="s">
        <v>619</v>
      </c>
      <c r="S15" s="13" t="s">
        <v>1759</v>
      </c>
      <c r="T15" s="13"/>
      <c r="U15" s="13"/>
      <c r="V15"/>
      <c r="W15"/>
      <c r="X15"/>
    </row>
    <row r="16" spans="1:24" s="40" customFormat="1" ht="60" hidden="1" customHeight="1" outlineLevel="2" x14ac:dyDescent="0.2">
      <c r="A16" s="37" t="s">
        <v>645</v>
      </c>
      <c r="B16" s="37" t="s">
        <v>646</v>
      </c>
      <c r="C16" s="37" t="s">
        <v>1500</v>
      </c>
      <c r="D16" s="45" t="s">
        <v>1755</v>
      </c>
      <c r="E16" s="13" t="s">
        <v>637</v>
      </c>
      <c r="F16" s="13" t="s">
        <v>679</v>
      </c>
      <c r="G16" s="13" t="s">
        <v>617</v>
      </c>
      <c r="H16" s="15">
        <v>193</v>
      </c>
      <c r="I16" s="17" t="s">
        <v>662</v>
      </c>
      <c r="J16" s="19">
        <f>IF(H16&gt;0,(H16*VLOOKUP(Lookups!$K$11,Lookups!$M$10:$P$40,4,0)/VLOOKUP(I16,Lookups!$M$10:$P$40,4,0)),"")</f>
        <v>221.63595255160129</v>
      </c>
      <c r="K16" s="15"/>
      <c r="L16" s="17"/>
      <c r="M16" s="19" t="str">
        <f>IF(K16&gt;0,(K16*VLOOKUP(Lookups!$K$11,Lookups!$M$10:$P$40,4,0)/VLOOKUP(L16,Lookups!$M$10:$P$40,4,0)),"")</f>
        <v/>
      </c>
      <c r="N16" s="15"/>
      <c r="O16" s="17"/>
      <c r="P16" s="19" t="str">
        <f>IF(N16&gt;0,(N16*VLOOKUP(Lookups!$K$11,Lookups!$M$10:$P$40,4,0)/VLOOKUP(O16,Lookups!$M$10:$P$40,4,0)),"")</f>
        <v/>
      </c>
      <c r="Q16" s="95" t="s">
        <v>1756</v>
      </c>
      <c r="R16" s="38" t="s">
        <v>619</v>
      </c>
      <c r="S16" s="13" t="s">
        <v>1760</v>
      </c>
      <c r="T16" s="13"/>
      <c r="U16" s="13"/>
      <c r="V16"/>
      <c r="W16"/>
      <c r="X16"/>
    </row>
    <row r="17" spans="1:24" s="40" customFormat="1" ht="60" hidden="1" customHeight="1" outlineLevel="2" x14ac:dyDescent="0.2">
      <c r="A17" s="37" t="s">
        <v>645</v>
      </c>
      <c r="B17" s="37" t="s">
        <v>646</v>
      </c>
      <c r="C17" s="37" t="s">
        <v>1750</v>
      </c>
      <c r="D17" s="45" t="s">
        <v>1752</v>
      </c>
      <c r="E17" s="13" t="s">
        <v>637</v>
      </c>
      <c r="F17" s="13" t="s">
        <v>679</v>
      </c>
      <c r="G17" s="13" t="s">
        <v>627</v>
      </c>
      <c r="H17" s="15">
        <v>110</v>
      </c>
      <c r="I17" s="17" t="s">
        <v>662</v>
      </c>
      <c r="J17" s="19">
        <f>IF(H17&gt;0,(H17*VLOOKUP(Lookups!$K$11,Lookups!$M$10:$P$40,4,0)/VLOOKUP(I17,Lookups!$M$10:$P$40,4,0)),"")</f>
        <v>126.32100922630126</v>
      </c>
      <c r="K17" s="15"/>
      <c r="L17" s="17"/>
      <c r="M17" s="19" t="str">
        <f>IF(K17&gt;0,(K17*VLOOKUP(Lookups!$K$11,Lookups!$M$10:$P$40,4,0)/VLOOKUP(L17,Lookups!$M$10:$P$40,4,0)),"")</f>
        <v/>
      </c>
      <c r="N17" s="15"/>
      <c r="O17" s="17"/>
      <c r="P17" s="19" t="str">
        <f>IF(N17&gt;0,(N17*VLOOKUP(Lookups!$K$11,Lookups!$M$10:$P$40,4,0)/VLOOKUP(O17,Lookups!$M$10:$P$40,4,0)),"")</f>
        <v/>
      </c>
      <c r="Q17" s="95" t="s">
        <v>1756</v>
      </c>
      <c r="R17" s="38" t="s">
        <v>619</v>
      </c>
      <c r="S17" s="13" t="s">
        <v>1701</v>
      </c>
      <c r="T17" s="13"/>
      <c r="U17" s="120" t="s">
        <v>56</v>
      </c>
      <c r="V17"/>
      <c r="W17"/>
      <c r="X17"/>
    </row>
    <row r="18" spans="1:24" s="40" customFormat="1" ht="60" customHeight="1" collapsed="1" x14ac:dyDescent="0.2">
      <c r="A18" s="42" t="s">
        <v>645</v>
      </c>
      <c r="B18" s="42" t="s">
        <v>710</v>
      </c>
      <c r="C18" s="42" t="s">
        <v>1501</v>
      </c>
      <c r="D18" s="42" t="s">
        <v>69</v>
      </c>
      <c r="E18" s="13" t="s">
        <v>1342</v>
      </c>
      <c r="F18" s="13" t="s">
        <v>614</v>
      </c>
      <c r="G18" s="13" t="s">
        <v>669</v>
      </c>
      <c r="H18" s="15">
        <v>33785</v>
      </c>
      <c r="I18" s="17" t="s">
        <v>727</v>
      </c>
      <c r="J18" s="19">
        <f>IF(H18&gt;0,(H18*VLOOKUP(Lookups!$K$11,Lookups!$M$10:$P$40,4,0)/VLOOKUP(I18,Lookups!$M$10:$P$40,4,0)),"")</f>
        <v>34840.375829999997</v>
      </c>
      <c r="K18" s="15"/>
      <c r="L18" s="17"/>
      <c r="M18" s="19" t="str">
        <f>IF(K18&gt;0,(K18*VLOOKUP(Lookups!$K$11,Lookups!$M$10:$P$40,4,0)/VLOOKUP(L18,Lookups!$M$10:$P$40,4,0)),"")</f>
        <v/>
      </c>
      <c r="N18" s="15"/>
      <c r="O18" s="17"/>
      <c r="P18" s="19" t="str">
        <f>IF(N18&gt;0,(N18*VLOOKUP(Lookups!$K$11,Lookups!$M$10:$P$40,4,0)/VLOOKUP(O18,Lookups!$M$10:$P$40,4,0)),"")</f>
        <v/>
      </c>
      <c r="Q18" s="16" t="s">
        <v>70</v>
      </c>
      <c r="R18" s="38" t="s">
        <v>621</v>
      </c>
      <c r="S18" s="13" t="s">
        <v>71</v>
      </c>
      <c r="T18" s="13" t="s">
        <v>1912</v>
      </c>
      <c r="U18" s="13" t="s">
        <v>72</v>
      </c>
      <c r="V18"/>
      <c r="W18"/>
      <c r="X18"/>
    </row>
    <row r="19" spans="1:24" s="40" customFormat="1" ht="60" hidden="1" customHeight="1" outlineLevel="2" x14ac:dyDescent="0.2">
      <c r="A19" s="13" t="s">
        <v>645</v>
      </c>
      <c r="B19" s="13" t="s">
        <v>710</v>
      </c>
      <c r="C19" s="13" t="s">
        <v>73</v>
      </c>
      <c r="D19" s="48" t="s">
        <v>74</v>
      </c>
      <c r="E19" s="13" t="s">
        <v>1342</v>
      </c>
      <c r="F19" s="13" t="s">
        <v>614</v>
      </c>
      <c r="G19" s="13" t="s">
        <v>669</v>
      </c>
      <c r="H19" s="15">
        <v>33356</v>
      </c>
      <c r="I19" s="17" t="s">
        <v>727</v>
      </c>
      <c r="J19" s="19">
        <f>IF(H19&gt;0,(H19*VLOOKUP(Lookups!$K$11,Lookups!$M$10:$P$40,4,0)/VLOOKUP(I19,Lookups!$M$10:$P$40,4,0)),"")</f>
        <v>34397.974727999994</v>
      </c>
      <c r="K19" s="15"/>
      <c r="L19" s="17"/>
      <c r="M19" s="19" t="str">
        <f>IF(K19&gt;0,(K19*VLOOKUP(Lookups!$K$11,Lookups!$M$10:$P$40,4,0)/VLOOKUP(L19,Lookups!$M$10:$P$40,4,0)),"")</f>
        <v/>
      </c>
      <c r="N19" s="15"/>
      <c r="O19" s="17"/>
      <c r="P19" s="19" t="str">
        <f>IF(N19&gt;0,(N19*VLOOKUP(Lookups!$K$11,Lookups!$M$10:$P$40,4,0)/VLOOKUP(O19,Lookups!$M$10:$P$40,4,0)),"")</f>
        <v/>
      </c>
      <c r="Q19" s="16" t="s">
        <v>70</v>
      </c>
      <c r="R19" s="38" t="s">
        <v>621</v>
      </c>
      <c r="S19" s="13" t="s">
        <v>75</v>
      </c>
      <c r="T19" s="13" t="s">
        <v>1912</v>
      </c>
      <c r="U19" s="13" t="s">
        <v>72</v>
      </c>
      <c r="V19"/>
      <c r="W19"/>
      <c r="X19"/>
    </row>
    <row r="20" spans="1:24" s="40" customFormat="1" ht="60" hidden="1" customHeight="1" outlineLevel="2" x14ac:dyDescent="0.2">
      <c r="A20" s="13" t="s">
        <v>645</v>
      </c>
      <c r="B20" s="13" t="s">
        <v>710</v>
      </c>
      <c r="C20" s="13" t="s">
        <v>76</v>
      </c>
      <c r="D20" s="48" t="s">
        <v>77</v>
      </c>
      <c r="E20" s="13" t="s">
        <v>1342</v>
      </c>
      <c r="F20" s="13" t="s">
        <v>614</v>
      </c>
      <c r="G20" s="13" t="s">
        <v>669</v>
      </c>
      <c r="H20" s="15">
        <v>30196</v>
      </c>
      <c r="I20" s="17" t="s">
        <v>727</v>
      </c>
      <c r="J20" s="19">
        <f>IF(H20&gt;0,(H20*VLOOKUP(Lookups!$K$11,Lookups!$M$10:$P$40,4,0)/VLOOKUP(I20,Lookups!$M$10:$P$40,4,0)),"")</f>
        <v>31139.262647999993</v>
      </c>
      <c r="K20" s="15"/>
      <c r="L20" s="17"/>
      <c r="M20" s="19" t="str">
        <f>IF(K20&gt;0,(K20*VLOOKUP(Lookups!$K$11,Lookups!$M$10:$P$40,4,0)/VLOOKUP(L20,Lookups!$M$10:$P$40,4,0)),"")</f>
        <v/>
      </c>
      <c r="N20" s="15"/>
      <c r="O20" s="17"/>
      <c r="P20" s="19" t="str">
        <f>IF(N20&gt;0,(N20*VLOOKUP(Lookups!$K$11,Lookups!$M$10:$P$40,4,0)/VLOOKUP(O20,Lookups!$M$10:$P$40,4,0)),"")</f>
        <v/>
      </c>
      <c r="Q20" s="16" t="s">
        <v>70</v>
      </c>
      <c r="R20" s="38" t="s">
        <v>621</v>
      </c>
      <c r="S20" s="13" t="s">
        <v>78</v>
      </c>
      <c r="T20" s="13" t="s">
        <v>1912</v>
      </c>
      <c r="U20" s="13" t="s">
        <v>72</v>
      </c>
      <c r="V20"/>
      <c r="W20"/>
      <c r="X20"/>
    </row>
    <row r="21" spans="1:24" s="40" customFormat="1" ht="60" hidden="1" customHeight="1" outlineLevel="2" x14ac:dyDescent="0.2">
      <c r="A21" s="13" t="s">
        <v>645</v>
      </c>
      <c r="B21" s="13" t="s">
        <v>710</v>
      </c>
      <c r="C21" s="13" t="s">
        <v>79</v>
      </c>
      <c r="D21" s="48" t="s">
        <v>80</v>
      </c>
      <c r="E21" s="13" t="s">
        <v>1342</v>
      </c>
      <c r="F21" s="13" t="s">
        <v>614</v>
      </c>
      <c r="G21" s="13" t="s">
        <v>669</v>
      </c>
      <c r="H21" s="15">
        <v>59484</v>
      </c>
      <c r="I21" s="17" t="s">
        <v>727</v>
      </c>
      <c r="J21" s="19">
        <f>IF(H21&gt;0,(H21*VLOOKUP(Lookups!$K$11,Lookups!$M$10:$P$40,4,0)/VLOOKUP(I21,Lookups!$M$10:$P$40,4,0)),"")</f>
        <v>61342.161191999992</v>
      </c>
      <c r="K21" s="15"/>
      <c r="L21" s="17"/>
      <c r="M21" s="19" t="str">
        <f>IF(K21&gt;0,(K21*VLOOKUP(Lookups!$K$11,Lookups!$M$10:$P$40,4,0)/VLOOKUP(L21,Lookups!$M$10:$P$40,4,0)),"")</f>
        <v/>
      </c>
      <c r="N21" s="15"/>
      <c r="O21" s="17"/>
      <c r="P21" s="19" t="str">
        <f>IF(N21&gt;0,(N21*VLOOKUP(Lookups!$K$11,Lookups!$M$10:$P$40,4,0)/VLOOKUP(O21,Lookups!$M$10:$P$40,4,0)),"")</f>
        <v/>
      </c>
      <c r="Q21" s="16" t="s">
        <v>70</v>
      </c>
      <c r="R21" s="38" t="s">
        <v>621</v>
      </c>
      <c r="S21" s="13" t="s">
        <v>81</v>
      </c>
      <c r="T21" s="13" t="s">
        <v>1912</v>
      </c>
      <c r="U21" s="13" t="s">
        <v>72</v>
      </c>
      <c r="V21"/>
      <c r="W21"/>
      <c r="X21"/>
    </row>
    <row r="22" spans="1:24" s="40" customFormat="1" ht="60" hidden="1" customHeight="1" outlineLevel="2" x14ac:dyDescent="0.2">
      <c r="A22" s="13" t="s">
        <v>645</v>
      </c>
      <c r="B22" s="13" t="s">
        <v>710</v>
      </c>
      <c r="C22" s="13" t="s">
        <v>82</v>
      </c>
      <c r="D22" s="48" t="s">
        <v>83</v>
      </c>
      <c r="E22" s="13" t="s">
        <v>1342</v>
      </c>
      <c r="F22" s="13" t="s">
        <v>614</v>
      </c>
      <c r="G22" s="13" t="s">
        <v>669</v>
      </c>
      <c r="H22" s="15">
        <v>26069</v>
      </c>
      <c r="I22" s="17" t="s">
        <v>727</v>
      </c>
      <c r="J22" s="19">
        <f>IF(H22&gt;0,(H22*VLOOKUP(Lookups!$K$11,Lookups!$M$10:$P$40,4,0)/VLOOKUP(I22,Lookups!$M$10:$P$40,4,0)),"")</f>
        <v>26883.343421999998</v>
      </c>
      <c r="K22" s="15"/>
      <c r="L22" s="17"/>
      <c r="M22" s="19" t="str">
        <f>IF(K22&gt;0,(K22*VLOOKUP(Lookups!$K$11,Lookups!$M$10:$P$40,4,0)/VLOOKUP(L22,Lookups!$M$10:$P$40,4,0)),"")</f>
        <v/>
      </c>
      <c r="N22" s="15"/>
      <c r="O22" s="17"/>
      <c r="P22" s="19" t="str">
        <f>IF(N22&gt;0,(N22*VLOOKUP(Lookups!$K$11,Lookups!$M$10:$P$40,4,0)/VLOOKUP(O22,Lookups!$M$10:$P$40,4,0)),"")</f>
        <v/>
      </c>
      <c r="Q22" s="16" t="s">
        <v>70</v>
      </c>
      <c r="R22" s="38" t="s">
        <v>621</v>
      </c>
      <c r="S22" s="13" t="s">
        <v>84</v>
      </c>
      <c r="T22" s="13" t="s">
        <v>1912</v>
      </c>
      <c r="U22" s="13" t="s">
        <v>72</v>
      </c>
      <c r="V22"/>
      <c r="W22"/>
      <c r="X22"/>
    </row>
    <row r="23" spans="1:24" s="40" customFormat="1" ht="60" hidden="1" customHeight="1" outlineLevel="2" x14ac:dyDescent="0.2">
      <c r="A23" s="13" t="s">
        <v>645</v>
      </c>
      <c r="B23" s="13" t="s">
        <v>710</v>
      </c>
      <c r="C23" s="13" t="s">
        <v>85</v>
      </c>
      <c r="D23" s="48" t="s">
        <v>86</v>
      </c>
      <c r="E23" s="13" t="s">
        <v>1342</v>
      </c>
      <c r="F23" s="13" t="s">
        <v>614</v>
      </c>
      <c r="G23" s="13" t="s">
        <v>669</v>
      </c>
      <c r="H23" s="15">
        <v>31989</v>
      </c>
      <c r="I23" s="17" t="s">
        <v>727</v>
      </c>
      <c r="J23" s="19">
        <f>IF(H23&gt;0,(H23*VLOOKUP(Lookups!$K$11,Lookups!$M$10:$P$40,4,0)/VLOOKUP(I23,Lookups!$M$10:$P$40,4,0)),"")</f>
        <v>32988.272381999996</v>
      </c>
      <c r="K23" s="15"/>
      <c r="L23" s="17"/>
      <c r="M23" s="19" t="str">
        <f>IF(K23&gt;0,(K23*VLOOKUP(Lookups!$K$11,Lookups!$M$10:$P$40,4,0)/VLOOKUP(L23,Lookups!$M$10:$P$40,4,0)),"")</f>
        <v/>
      </c>
      <c r="N23" s="15"/>
      <c r="O23" s="17"/>
      <c r="P23" s="19" t="str">
        <f>IF(N23&gt;0,(N23*VLOOKUP(Lookups!$K$11,Lookups!$M$10:$P$40,4,0)/VLOOKUP(O23,Lookups!$M$10:$P$40,4,0)),"")</f>
        <v/>
      </c>
      <c r="Q23" s="16" t="s">
        <v>70</v>
      </c>
      <c r="R23" s="38" t="s">
        <v>621</v>
      </c>
      <c r="S23" s="13" t="s">
        <v>87</v>
      </c>
      <c r="T23" s="13" t="s">
        <v>1911</v>
      </c>
      <c r="U23" s="13" t="s">
        <v>88</v>
      </c>
      <c r="V23"/>
      <c r="W23"/>
      <c r="X23"/>
    </row>
    <row r="24" spans="1:24" s="40" customFormat="1" ht="60" hidden="1" customHeight="1" outlineLevel="2" x14ac:dyDescent="0.2">
      <c r="A24" s="13" t="s">
        <v>645</v>
      </c>
      <c r="B24" s="13" t="s">
        <v>710</v>
      </c>
      <c r="C24" s="13" t="s">
        <v>89</v>
      </c>
      <c r="D24" s="48" t="s">
        <v>90</v>
      </c>
      <c r="E24" s="13" t="s">
        <v>1342</v>
      </c>
      <c r="F24" s="13" t="s">
        <v>614</v>
      </c>
      <c r="G24" s="13" t="s">
        <v>669</v>
      </c>
      <c r="H24" s="15">
        <v>44477</v>
      </c>
      <c r="I24" s="17" t="s">
        <v>727</v>
      </c>
      <c r="J24" s="19">
        <f>IF(H24&gt;0,(H24*VLOOKUP(Lookups!$K$11,Lookups!$M$10:$P$40,4,0)/VLOOKUP(I24,Lookups!$M$10:$P$40,4,0)),"")</f>
        <v>45866.372525999999</v>
      </c>
      <c r="K24" s="15"/>
      <c r="L24" s="17"/>
      <c r="M24" s="19" t="str">
        <f>IF(K24&gt;0,(K24*VLOOKUP(Lookups!$K$11,Lookups!$M$10:$P$40,4,0)/VLOOKUP(L24,Lookups!$M$10:$P$40,4,0)),"")</f>
        <v/>
      </c>
      <c r="N24" s="15"/>
      <c r="O24" s="17"/>
      <c r="P24" s="19" t="str">
        <f>IF(N24&gt;0,(N24*VLOOKUP(Lookups!$K$11,Lookups!$M$10:$P$40,4,0)/VLOOKUP(O24,Lookups!$M$10:$P$40,4,0)),"")</f>
        <v/>
      </c>
      <c r="Q24" s="16" t="s">
        <v>70</v>
      </c>
      <c r="R24" s="38" t="s">
        <v>621</v>
      </c>
      <c r="S24" s="13" t="s">
        <v>91</v>
      </c>
      <c r="T24" s="13" t="s">
        <v>1912</v>
      </c>
      <c r="U24" s="13" t="s">
        <v>72</v>
      </c>
      <c r="V24"/>
      <c r="W24"/>
      <c r="X24"/>
    </row>
    <row r="25" spans="1:24" s="40" customFormat="1" ht="60" hidden="1" customHeight="1" outlineLevel="2" x14ac:dyDescent="0.2">
      <c r="A25" s="13" t="s">
        <v>645</v>
      </c>
      <c r="B25" s="13" t="s">
        <v>710</v>
      </c>
      <c r="C25" s="13" t="s">
        <v>92</v>
      </c>
      <c r="D25" s="48" t="s">
        <v>93</v>
      </c>
      <c r="E25" s="13" t="s">
        <v>1342</v>
      </c>
      <c r="F25" s="13" t="s">
        <v>614</v>
      </c>
      <c r="G25" s="13" t="s">
        <v>669</v>
      </c>
      <c r="H25" s="15">
        <v>41791</v>
      </c>
      <c r="I25" s="17" t="s">
        <v>727</v>
      </c>
      <c r="J25" s="19">
        <f>IF(H25&gt;0,(H25*VLOOKUP(Lookups!$K$11,Lookups!$M$10:$P$40,4,0)/VLOOKUP(I25,Lookups!$M$10:$P$40,4,0)),"")</f>
        <v>43096.467257999997</v>
      </c>
      <c r="K25" s="15"/>
      <c r="L25" s="17"/>
      <c r="M25" s="19" t="str">
        <f>IF(K25&gt;0,(K25*VLOOKUP(Lookups!$K$11,Lookups!$M$10:$P$40,4,0)/VLOOKUP(L25,Lookups!$M$10:$P$40,4,0)),"")</f>
        <v/>
      </c>
      <c r="N25" s="15"/>
      <c r="O25" s="17"/>
      <c r="P25" s="19" t="str">
        <f>IF(N25&gt;0,(N25*VLOOKUP(Lookups!$K$11,Lookups!$M$10:$P$40,4,0)/VLOOKUP(O25,Lookups!$M$10:$P$40,4,0)),"")</f>
        <v/>
      </c>
      <c r="Q25" s="16" t="s">
        <v>70</v>
      </c>
      <c r="R25" s="38" t="s">
        <v>621</v>
      </c>
      <c r="S25" s="13" t="s">
        <v>94</v>
      </c>
      <c r="T25" s="13" t="s">
        <v>1912</v>
      </c>
      <c r="U25" s="13" t="s">
        <v>72</v>
      </c>
      <c r="V25"/>
      <c r="W25"/>
      <c r="X25"/>
    </row>
    <row r="26" spans="1:24" s="40" customFormat="1" ht="60" hidden="1" customHeight="1" outlineLevel="2" x14ac:dyDescent="0.2">
      <c r="A26" s="13" t="s">
        <v>645</v>
      </c>
      <c r="B26" s="13" t="s">
        <v>710</v>
      </c>
      <c r="C26" s="13" t="s">
        <v>95</v>
      </c>
      <c r="D26" s="48" t="s">
        <v>96</v>
      </c>
      <c r="E26" s="13" t="s">
        <v>1342</v>
      </c>
      <c r="F26" s="13" t="s">
        <v>614</v>
      </c>
      <c r="G26" s="13" t="s">
        <v>669</v>
      </c>
      <c r="H26" s="15">
        <v>46720</v>
      </c>
      <c r="I26" s="17" t="s">
        <v>727</v>
      </c>
      <c r="J26" s="19">
        <f>IF(H26&gt;0,(H26*VLOOKUP(Lookups!$K$11,Lookups!$M$10:$P$40,4,0)/VLOOKUP(I26,Lookups!$M$10:$P$40,4,0)),"")</f>
        <v>48179.439359999997</v>
      </c>
      <c r="K26" s="15"/>
      <c r="L26" s="17"/>
      <c r="M26" s="19" t="str">
        <f>IF(K26&gt;0,(K26*VLOOKUP(Lookups!$K$11,Lookups!$M$10:$P$40,4,0)/VLOOKUP(L26,Lookups!$M$10:$P$40,4,0)),"")</f>
        <v/>
      </c>
      <c r="N26" s="15"/>
      <c r="O26" s="17"/>
      <c r="P26" s="19" t="str">
        <f>IF(N26&gt;0,(N26*VLOOKUP(Lookups!$K$11,Lookups!$M$10:$P$40,4,0)/VLOOKUP(O26,Lookups!$M$10:$P$40,4,0)),"")</f>
        <v/>
      </c>
      <c r="Q26" s="16" t="s">
        <v>70</v>
      </c>
      <c r="R26" s="38" t="s">
        <v>621</v>
      </c>
      <c r="S26" s="13" t="s">
        <v>97</v>
      </c>
      <c r="T26" s="13" t="s">
        <v>1911</v>
      </c>
      <c r="U26" s="13" t="s">
        <v>88</v>
      </c>
      <c r="V26"/>
      <c r="W26"/>
      <c r="X26"/>
    </row>
    <row r="27" spans="1:24" s="40" customFormat="1" ht="60" hidden="1" customHeight="1" outlineLevel="1" x14ac:dyDescent="0.2">
      <c r="A27" s="46" t="s">
        <v>645</v>
      </c>
      <c r="B27" s="46" t="s">
        <v>710</v>
      </c>
      <c r="C27" s="46" t="s">
        <v>912</v>
      </c>
      <c r="D27" s="46" t="s">
        <v>401</v>
      </c>
      <c r="E27" s="13" t="s">
        <v>632</v>
      </c>
      <c r="F27" s="13" t="s">
        <v>614</v>
      </c>
      <c r="G27" s="13" t="s">
        <v>669</v>
      </c>
      <c r="H27" s="15">
        <v>2367</v>
      </c>
      <c r="I27" s="17" t="s">
        <v>662</v>
      </c>
      <c r="J27" s="19">
        <f>IF(H27&gt;0,(H27*VLOOKUP(Lookups!$K$11,Lookups!$M$10:$P$40,4,0)/VLOOKUP(I27,Lookups!$M$10:$P$40,4,0)),"")</f>
        <v>2718.1984439877733</v>
      </c>
      <c r="K27" s="15"/>
      <c r="L27" s="17"/>
      <c r="M27" s="19" t="str">
        <f>IF(K27&gt;0,(K27*VLOOKUP(Lookups!$K$11,Lookups!$M$10:$P$40,4,0)/VLOOKUP(L27,Lookups!$M$10:$P$40,4,0)),"")</f>
        <v/>
      </c>
      <c r="N27" s="15"/>
      <c r="O27" s="17"/>
      <c r="P27" s="19" t="str">
        <f>IF(N27&gt;0,(N27*VLOOKUP(Lookups!$K$11,Lookups!$M$10:$P$40,4,0)/VLOOKUP(O27,Lookups!$M$10:$P$40,4,0)),"")</f>
        <v/>
      </c>
      <c r="Q27" s="16" t="s">
        <v>920</v>
      </c>
      <c r="R27" s="38" t="s">
        <v>621</v>
      </c>
      <c r="S27" s="13"/>
      <c r="T27" s="13"/>
      <c r="U27" s="120" t="s">
        <v>2210</v>
      </c>
      <c r="V27"/>
      <c r="W27"/>
      <c r="X27"/>
    </row>
    <row r="28" spans="1:24" s="40" customFormat="1" ht="60" hidden="1" customHeight="1" outlineLevel="1" x14ac:dyDescent="0.2">
      <c r="A28" s="46" t="s">
        <v>645</v>
      </c>
      <c r="B28" s="46" t="s">
        <v>710</v>
      </c>
      <c r="C28" s="46" t="s">
        <v>914</v>
      </c>
      <c r="D28" s="46" t="s">
        <v>1733</v>
      </c>
      <c r="E28" s="13" t="s">
        <v>634</v>
      </c>
      <c r="F28" s="13" t="s">
        <v>614</v>
      </c>
      <c r="G28" s="13" t="s">
        <v>669</v>
      </c>
      <c r="H28" s="15">
        <v>357</v>
      </c>
      <c r="I28" s="17" t="s">
        <v>662</v>
      </c>
      <c r="J28" s="19">
        <f>IF(H28&gt;0,(H28*VLOOKUP(Lookups!$K$11,Lookups!$M$10:$P$40,4,0)/VLOOKUP(I28,Lookups!$M$10:$P$40,4,0)),"")</f>
        <v>409.96909357990495</v>
      </c>
      <c r="K28" s="15"/>
      <c r="L28" s="17"/>
      <c r="M28" s="19" t="str">
        <f>IF(K28&gt;0,(K28*VLOOKUP(Lookups!$K$11,Lookups!$M$10:$P$40,4,0)/VLOOKUP(L28,Lookups!$M$10:$P$40,4,0)),"")</f>
        <v/>
      </c>
      <c r="N28" s="15"/>
      <c r="O28" s="17"/>
      <c r="P28" s="19" t="str">
        <f>IF(N28&gt;0,(N28*VLOOKUP(Lookups!$K$11,Lookups!$M$10:$P$40,4,0)/VLOOKUP(O28,Lookups!$M$10:$P$40,4,0)),"")</f>
        <v/>
      </c>
      <c r="Q28" s="16" t="s">
        <v>920</v>
      </c>
      <c r="R28" s="38" t="s">
        <v>621</v>
      </c>
      <c r="S28" s="13" t="s">
        <v>1615</v>
      </c>
      <c r="T28" s="13"/>
      <c r="U28" s="120" t="s">
        <v>2210</v>
      </c>
      <c r="V28"/>
      <c r="W28"/>
      <c r="X28"/>
    </row>
    <row r="29" spans="1:24" s="40" customFormat="1" ht="60" customHeight="1" collapsed="1" x14ac:dyDescent="0.2">
      <c r="A29" s="42" t="s">
        <v>645</v>
      </c>
      <c r="B29" s="42" t="s">
        <v>638</v>
      </c>
      <c r="C29" s="42" t="s">
        <v>915</v>
      </c>
      <c r="D29" s="42" t="s">
        <v>2501</v>
      </c>
      <c r="E29" s="13" t="s">
        <v>634</v>
      </c>
      <c r="F29" s="13" t="s">
        <v>614</v>
      </c>
      <c r="G29" s="13"/>
      <c r="H29" s="15">
        <v>3152</v>
      </c>
      <c r="I29" s="17" t="s">
        <v>662</v>
      </c>
      <c r="J29" s="19">
        <f>IF(H29&gt;0,(H29*VLOOKUP(Lookups!$K$11,Lookups!$M$10:$P$40,4,0)/VLOOKUP(I29,Lookups!$M$10:$P$40,4,0)),"")</f>
        <v>3619.6711007391054</v>
      </c>
      <c r="K29" s="15"/>
      <c r="L29" s="17"/>
      <c r="M29" s="19" t="str">
        <f>IF(K29&gt;0,(K29*VLOOKUP(Lookups!$K$11,Lookups!$M$10:$P$40,4,0)/VLOOKUP(L29,Lookups!$M$10:$P$40,4,0)),"")</f>
        <v/>
      </c>
      <c r="N29" s="15"/>
      <c r="O29" s="17"/>
      <c r="P29" s="19" t="str">
        <f>IF(N29&gt;0,(N29*VLOOKUP(Lookups!$K$11,Lookups!$M$10:$P$40,4,0)/VLOOKUP(O29,Lookups!$M$10:$P$40,4,0)),"")</f>
        <v/>
      </c>
      <c r="Q29" s="16" t="s">
        <v>913</v>
      </c>
      <c r="R29" s="38" t="s">
        <v>621</v>
      </c>
      <c r="S29" s="13" t="s">
        <v>165</v>
      </c>
      <c r="T29" s="13" t="s">
        <v>1912</v>
      </c>
      <c r="U29" s="13" t="s">
        <v>2502</v>
      </c>
      <c r="V29"/>
      <c r="W29"/>
      <c r="X29"/>
    </row>
    <row r="30" spans="1:24" s="40" customFormat="1" ht="60" hidden="1" customHeight="1" outlineLevel="1" x14ac:dyDescent="0.2">
      <c r="A30" s="37" t="s">
        <v>645</v>
      </c>
      <c r="B30" s="46" t="s">
        <v>638</v>
      </c>
      <c r="C30" s="46" t="s">
        <v>916</v>
      </c>
      <c r="D30" s="46" t="s">
        <v>98</v>
      </c>
      <c r="E30" s="13" t="s">
        <v>1342</v>
      </c>
      <c r="F30" s="13" t="s">
        <v>614</v>
      </c>
      <c r="G30" s="13" t="s">
        <v>670</v>
      </c>
      <c r="H30" s="15">
        <v>39659</v>
      </c>
      <c r="I30" s="17" t="s">
        <v>727</v>
      </c>
      <c r="J30" s="19">
        <f>IF(H30&gt;0,(H30*VLOOKUP(Lookups!$K$11,Lookups!$M$10:$P$40,4,0)/VLOOKUP(I30,Lookups!$M$10:$P$40,4,0)),"")</f>
        <v>40897.867841999992</v>
      </c>
      <c r="K30" s="15"/>
      <c r="L30" s="17"/>
      <c r="M30" s="19" t="str">
        <f>IF(K30&gt;0,(K30*VLOOKUP(Lookups!$K$11,Lookups!$M$10:$P$40,4,0)/VLOOKUP(L30,Lookups!$M$10:$P$40,4,0)),"")</f>
        <v/>
      </c>
      <c r="N30" s="15"/>
      <c r="O30" s="17"/>
      <c r="P30" s="19" t="str">
        <f>IF(N30&gt;0,(N30*VLOOKUP(Lookups!$K$11,Lookups!$M$10:$P$40,4,0)/VLOOKUP(O30,Lookups!$M$10:$P$40,4,0)),"")</f>
        <v/>
      </c>
      <c r="Q30" s="16" t="s">
        <v>70</v>
      </c>
      <c r="R30" s="38" t="s">
        <v>621</v>
      </c>
      <c r="S30" s="13" t="s">
        <v>99</v>
      </c>
      <c r="T30" s="13" t="s">
        <v>1912</v>
      </c>
      <c r="U30" s="13" t="s">
        <v>72</v>
      </c>
      <c r="V30"/>
      <c r="W30"/>
      <c r="X30"/>
    </row>
    <row r="31" spans="1:24" s="40" customFormat="1" ht="60" hidden="1" customHeight="1" outlineLevel="1" x14ac:dyDescent="0.2">
      <c r="A31" s="37" t="s">
        <v>645</v>
      </c>
      <c r="B31" s="46" t="s">
        <v>638</v>
      </c>
      <c r="C31" s="46" t="s">
        <v>917</v>
      </c>
      <c r="D31" s="46" t="s">
        <v>100</v>
      </c>
      <c r="E31" s="13" t="s">
        <v>1342</v>
      </c>
      <c r="F31" s="13" t="s">
        <v>614</v>
      </c>
      <c r="G31" s="13" t="s">
        <v>670</v>
      </c>
      <c r="H31" s="15">
        <v>94780</v>
      </c>
      <c r="I31" s="17" t="s">
        <v>727</v>
      </c>
      <c r="J31" s="19">
        <f>IF(H31&gt;0,(H31*VLOOKUP(Lookups!$K$11,Lookups!$M$10:$P$40,4,0)/VLOOKUP(I31,Lookups!$M$10:$P$40,4,0)),"")</f>
        <v>97740.737639999978</v>
      </c>
      <c r="K31" s="15"/>
      <c r="L31" s="17"/>
      <c r="M31" s="19" t="str">
        <f>IF(K31&gt;0,(K31*VLOOKUP(Lookups!$K$11,Lookups!$M$10:$P$40,4,0)/VLOOKUP(L31,Lookups!$M$10:$P$40,4,0)),"")</f>
        <v/>
      </c>
      <c r="N31" s="15"/>
      <c r="O31" s="17"/>
      <c r="P31" s="19" t="str">
        <f>IF(N31&gt;0,(N31*VLOOKUP(Lookups!$K$11,Lookups!$M$10:$P$40,4,0)/VLOOKUP(O31,Lookups!$M$10:$P$40,4,0)),"")</f>
        <v/>
      </c>
      <c r="Q31" s="16" t="s">
        <v>70</v>
      </c>
      <c r="R31" s="38" t="s">
        <v>621</v>
      </c>
      <c r="S31" s="13" t="s">
        <v>101</v>
      </c>
      <c r="T31" s="13" t="s">
        <v>1912</v>
      </c>
      <c r="U31" s="13" t="s">
        <v>72</v>
      </c>
      <c r="V31"/>
      <c r="W31"/>
      <c r="X31"/>
    </row>
    <row r="32" spans="1:24" s="40" customFormat="1" ht="60" hidden="1" customHeight="1" outlineLevel="1" x14ac:dyDescent="0.2">
      <c r="A32" s="46" t="s">
        <v>645</v>
      </c>
      <c r="B32" s="46" t="s">
        <v>638</v>
      </c>
      <c r="C32" s="46" t="s">
        <v>2417</v>
      </c>
      <c r="D32" s="46" t="s">
        <v>2418</v>
      </c>
      <c r="E32" s="13" t="s">
        <v>628</v>
      </c>
      <c r="F32" s="13" t="s">
        <v>679</v>
      </c>
      <c r="G32" s="13" t="s">
        <v>617</v>
      </c>
      <c r="H32" s="15">
        <v>29</v>
      </c>
      <c r="I32" s="17" t="s">
        <v>662</v>
      </c>
      <c r="J32" s="19">
        <f>IF(H32&gt;0,(H32*VLOOKUP(Lookups!$K$11,Lookups!$M$10:$P$40,4,0)/VLOOKUP(I32,Lookups!$M$10:$P$40,4,0)),"")</f>
        <v>33.302811523297606</v>
      </c>
      <c r="K32" s="15"/>
      <c r="L32" s="17"/>
      <c r="M32" s="19" t="str">
        <f>IF(K32&gt;0,(K32*VLOOKUP(Lookups!$K$11,Lookups!$M$10:$P$40,4,0)/VLOOKUP(L32,Lookups!$M$10:$P$40,4,0)),"")</f>
        <v/>
      </c>
      <c r="N32" s="15"/>
      <c r="O32" s="17"/>
      <c r="P32" s="19" t="str">
        <f>IF(N32&gt;0,(N32*VLOOKUP(Lookups!$K$11,Lookups!$M$10:$P$40,4,0)/VLOOKUP(O32,Lookups!$M$10:$P$40,4,0)),"")</f>
        <v/>
      </c>
      <c r="Q32" s="16" t="s">
        <v>2420</v>
      </c>
      <c r="R32" s="38" t="s">
        <v>621</v>
      </c>
      <c r="S32" s="13" t="s">
        <v>2419</v>
      </c>
      <c r="T32" s="13" t="s">
        <v>1911</v>
      </c>
      <c r="U32" s="13" t="s">
        <v>2421</v>
      </c>
      <c r="V32"/>
      <c r="W32"/>
      <c r="X32"/>
    </row>
    <row r="33" spans="1:24" s="40" customFormat="1" ht="60" customHeight="1" collapsed="1" x14ac:dyDescent="0.2">
      <c r="A33" s="42" t="s">
        <v>645</v>
      </c>
      <c r="B33" s="42" t="s">
        <v>693</v>
      </c>
      <c r="C33" s="42" t="s">
        <v>918</v>
      </c>
      <c r="D33" s="42" t="s">
        <v>919</v>
      </c>
      <c r="E33" s="13" t="s">
        <v>625</v>
      </c>
      <c r="F33" s="13" t="s">
        <v>614</v>
      </c>
      <c r="G33" s="13" t="s">
        <v>737</v>
      </c>
      <c r="H33" s="15">
        <v>12716</v>
      </c>
      <c r="I33" s="17" t="s">
        <v>662</v>
      </c>
      <c r="J33" s="19">
        <f>IF(H33&gt;0,(H33*VLOOKUP(Lookups!$K$11,Lookups!$M$10:$P$40,4,0)/VLOOKUP(I33,Lookups!$M$10:$P$40,4,0)),"")</f>
        <v>14602.708666560424</v>
      </c>
      <c r="K33" s="15"/>
      <c r="L33" s="17"/>
      <c r="M33" s="19" t="str">
        <f>IF(K33&gt;0,(K33*VLOOKUP(Lookups!$K$11,Lookups!$M$10:$P$40,4,0)/VLOOKUP(L33,Lookups!$M$10:$P$40,4,0)),"")</f>
        <v/>
      </c>
      <c r="N33" s="15"/>
      <c r="O33" s="17"/>
      <c r="P33" s="19" t="str">
        <f>IF(N33&gt;0,(N33*VLOOKUP(Lookups!$K$11,Lookups!$M$10:$P$40,4,0)/VLOOKUP(O33,Lookups!$M$10:$P$40,4,0)),"")</f>
        <v/>
      </c>
      <c r="Q33" s="16" t="s">
        <v>920</v>
      </c>
      <c r="R33" s="38" t="s">
        <v>621</v>
      </c>
      <c r="S33" s="13"/>
      <c r="T33" s="13"/>
      <c r="U33" s="120" t="s">
        <v>57</v>
      </c>
      <c r="V33"/>
      <c r="W33"/>
      <c r="X33"/>
    </row>
    <row r="34" spans="1:24" s="40" customFormat="1" ht="60" hidden="1" customHeight="1" outlineLevel="1" x14ac:dyDescent="0.2">
      <c r="A34" s="46" t="s">
        <v>645</v>
      </c>
      <c r="B34" s="46" t="s">
        <v>693</v>
      </c>
      <c r="C34" s="46" t="s">
        <v>921</v>
      </c>
      <c r="D34" s="46" t="s">
        <v>922</v>
      </c>
      <c r="E34" s="13" t="s">
        <v>625</v>
      </c>
      <c r="F34" s="13" t="s">
        <v>614</v>
      </c>
      <c r="G34" s="13" t="s">
        <v>737</v>
      </c>
      <c r="H34" s="15">
        <v>10887</v>
      </c>
      <c r="I34" s="17" t="s">
        <v>662</v>
      </c>
      <c r="J34" s="19">
        <f>IF(H34&gt;0,(H34*VLOOKUP(Lookups!$K$11,Lookups!$M$10:$P$40,4,0)/VLOOKUP(I34,Lookups!$M$10:$P$40,4,0)),"")</f>
        <v>12502.334794970378</v>
      </c>
      <c r="K34" s="15"/>
      <c r="L34" s="17"/>
      <c r="M34" s="19" t="str">
        <f>IF(K34&gt;0,(K34*VLOOKUP(Lookups!$K$11,Lookups!$M$10:$P$40,4,0)/VLOOKUP(L34,Lookups!$M$10:$P$40,4,0)),"")</f>
        <v/>
      </c>
      <c r="N34" s="15"/>
      <c r="O34" s="17"/>
      <c r="P34" s="19" t="str">
        <f>IF(N34&gt;0,(N34*VLOOKUP(Lookups!$K$11,Lookups!$M$10:$P$40,4,0)/VLOOKUP(O34,Lookups!$M$10:$P$40,4,0)),"")</f>
        <v/>
      </c>
      <c r="Q34" s="16" t="s">
        <v>920</v>
      </c>
      <c r="R34" s="38" t="s">
        <v>621</v>
      </c>
      <c r="S34" s="13"/>
      <c r="T34" s="13"/>
      <c r="U34" s="120" t="s">
        <v>2209</v>
      </c>
      <c r="V34"/>
      <c r="W34"/>
      <c r="X34"/>
    </row>
    <row r="35" spans="1:24" s="40" customFormat="1" ht="60" hidden="1" customHeight="1" outlineLevel="1" x14ac:dyDescent="0.2">
      <c r="A35" s="46" t="s">
        <v>645</v>
      </c>
      <c r="B35" s="46" t="s">
        <v>693</v>
      </c>
      <c r="C35" s="46" t="s">
        <v>923</v>
      </c>
      <c r="D35" s="46" t="s">
        <v>924</v>
      </c>
      <c r="E35" s="13" t="s">
        <v>625</v>
      </c>
      <c r="F35" s="13" t="s">
        <v>614</v>
      </c>
      <c r="G35" s="13" t="s">
        <v>737</v>
      </c>
      <c r="H35" s="15">
        <v>3448</v>
      </c>
      <c r="I35" s="17" t="s">
        <v>662</v>
      </c>
      <c r="J35" s="19">
        <f>IF(H35&gt;0,(H35*VLOOKUP(Lookups!$K$11,Lookups!$M$10:$P$40,4,0)/VLOOKUP(I35,Lookups!$M$10:$P$40,4,0)),"")</f>
        <v>3959.5894528389704</v>
      </c>
      <c r="K35" s="15"/>
      <c r="L35" s="17"/>
      <c r="M35" s="19" t="str">
        <f>IF(K35&gt;0,(K35*VLOOKUP(Lookups!$K$11,Lookups!$M$10:$P$40,4,0)/VLOOKUP(L35,Lookups!$M$10:$P$40,4,0)),"")</f>
        <v/>
      </c>
      <c r="N35" s="15"/>
      <c r="O35" s="17"/>
      <c r="P35" s="19" t="str">
        <f>IF(N35&gt;0,(N35*VLOOKUP(Lookups!$K$11,Lookups!$M$10:$P$40,4,0)/VLOOKUP(O35,Lookups!$M$10:$P$40,4,0)),"")</f>
        <v/>
      </c>
      <c r="Q35" s="16" t="s">
        <v>920</v>
      </c>
      <c r="R35" s="38" t="s">
        <v>621</v>
      </c>
      <c r="S35" s="13"/>
      <c r="T35" s="13"/>
      <c r="U35" s="120" t="s">
        <v>2209</v>
      </c>
      <c r="V35"/>
      <c r="W35"/>
      <c r="X35"/>
    </row>
    <row r="36" spans="1:24" s="40" customFormat="1" ht="60" hidden="1" customHeight="1" outlineLevel="1" x14ac:dyDescent="0.2">
      <c r="A36" s="46" t="s">
        <v>645</v>
      </c>
      <c r="B36" s="46" t="s">
        <v>693</v>
      </c>
      <c r="C36" s="46" t="s">
        <v>925</v>
      </c>
      <c r="D36" s="46" t="s">
        <v>926</v>
      </c>
      <c r="E36" s="13" t="s">
        <v>625</v>
      </c>
      <c r="F36" s="13" t="s">
        <v>614</v>
      </c>
      <c r="G36" s="13" t="s">
        <v>737</v>
      </c>
      <c r="H36" s="15">
        <v>9428</v>
      </c>
      <c r="I36" s="17" t="s">
        <v>662</v>
      </c>
      <c r="J36" s="19">
        <f>IF(H36&gt;0,(H36*VLOOKUP(Lookups!$K$11,Lookups!$M$10:$P$40,4,0)/VLOOKUP(I36,Lookups!$M$10:$P$40,4,0)),"")</f>
        <v>10826.858863505166</v>
      </c>
      <c r="K36" s="15"/>
      <c r="L36" s="17"/>
      <c r="M36" s="19" t="str">
        <f>IF(K36&gt;0,(K36*VLOOKUP(Lookups!$K$11,Lookups!$M$10:$P$40,4,0)/VLOOKUP(L36,Lookups!$M$10:$P$40,4,0)),"")</f>
        <v/>
      </c>
      <c r="N36" s="15"/>
      <c r="O36" s="17"/>
      <c r="P36" s="19" t="str">
        <f>IF(N36&gt;0,(N36*VLOOKUP(Lookups!$K$11,Lookups!$M$10:$P$40,4,0)/VLOOKUP(O36,Lookups!$M$10:$P$40,4,0)),"")</f>
        <v/>
      </c>
      <c r="Q36" s="16" t="s">
        <v>920</v>
      </c>
      <c r="R36" s="38" t="s">
        <v>621</v>
      </c>
      <c r="S36" s="13"/>
      <c r="T36" s="13"/>
      <c r="U36" s="120" t="s">
        <v>2209</v>
      </c>
      <c r="V36"/>
      <c r="W36"/>
      <c r="X36"/>
    </row>
    <row r="37" spans="1:24" s="40" customFormat="1" ht="60" hidden="1" customHeight="1" outlineLevel="1" x14ac:dyDescent="0.2">
      <c r="A37" s="46" t="s">
        <v>645</v>
      </c>
      <c r="B37" s="46" t="s">
        <v>693</v>
      </c>
      <c r="C37" s="46" t="s">
        <v>927</v>
      </c>
      <c r="D37" s="46" t="s">
        <v>928</v>
      </c>
      <c r="E37" s="13" t="s">
        <v>625</v>
      </c>
      <c r="F37" s="13" t="s">
        <v>614</v>
      </c>
      <c r="G37" s="13" t="s">
        <v>737</v>
      </c>
      <c r="H37" s="15">
        <v>4012</v>
      </c>
      <c r="I37" s="17" t="s">
        <v>662</v>
      </c>
      <c r="J37" s="19">
        <f>IF(H37&gt;0,(H37*VLOOKUP(Lookups!$K$11,Lookups!$M$10:$P$40,4,0)/VLOOKUP(I37,Lookups!$M$10:$P$40,4,0)),"")</f>
        <v>4607.2717183265513</v>
      </c>
      <c r="K37" s="15"/>
      <c r="L37" s="17"/>
      <c r="M37" s="19" t="str">
        <f>IF(K37&gt;0,(K37*VLOOKUP(Lookups!$K$11,Lookups!$M$10:$P$40,4,0)/VLOOKUP(L37,Lookups!$M$10:$P$40,4,0)),"")</f>
        <v/>
      </c>
      <c r="N37" s="15"/>
      <c r="O37" s="17"/>
      <c r="P37" s="19" t="str">
        <f>IF(N37&gt;0,(N37*VLOOKUP(Lookups!$K$11,Lookups!$M$10:$P$40,4,0)/VLOOKUP(O37,Lookups!$M$10:$P$40,4,0)),"")</f>
        <v/>
      </c>
      <c r="Q37" s="16" t="s">
        <v>920</v>
      </c>
      <c r="R37" s="38" t="s">
        <v>621</v>
      </c>
      <c r="S37" s="13"/>
      <c r="T37" s="13"/>
      <c r="U37" s="120" t="s">
        <v>2209</v>
      </c>
      <c r="V37"/>
      <c r="W37"/>
      <c r="X37"/>
    </row>
    <row r="38" spans="1:24" s="40" customFormat="1" ht="60" hidden="1" customHeight="1" outlineLevel="1" x14ac:dyDescent="0.2">
      <c r="A38" s="46" t="s">
        <v>645</v>
      </c>
      <c r="B38" s="46" t="s">
        <v>693</v>
      </c>
      <c r="C38" s="46" t="s">
        <v>929</v>
      </c>
      <c r="D38" s="46" t="s">
        <v>930</v>
      </c>
      <c r="E38" s="13" t="s">
        <v>625</v>
      </c>
      <c r="F38" s="13" t="s">
        <v>614</v>
      </c>
      <c r="G38" s="13" t="s">
        <v>737</v>
      </c>
      <c r="H38" s="15">
        <v>3104</v>
      </c>
      <c r="I38" s="17" t="s">
        <v>662</v>
      </c>
      <c r="J38" s="19">
        <f>IF(H38&gt;0,(H38*VLOOKUP(Lookups!$K$11,Lookups!$M$10:$P$40,4,0)/VLOOKUP(I38,Lookups!$M$10:$P$40,4,0)),"")</f>
        <v>3564.5492058039922</v>
      </c>
      <c r="K38" s="15"/>
      <c r="L38" s="17"/>
      <c r="M38" s="19" t="str">
        <f>IF(K38&gt;0,(K38*VLOOKUP(Lookups!$K$11,Lookups!$M$10:$P$40,4,0)/VLOOKUP(L38,Lookups!$M$10:$P$40,4,0)),"")</f>
        <v/>
      </c>
      <c r="N38" s="15"/>
      <c r="O38" s="17"/>
      <c r="P38" s="19" t="str">
        <f>IF(N38&gt;0,(N38*VLOOKUP(Lookups!$K$11,Lookups!$M$10:$P$40,4,0)/VLOOKUP(O38,Lookups!$M$10:$P$40,4,0)),"")</f>
        <v/>
      </c>
      <c r="Q38" s="16" t="s">
        <v>920</v>
      </c>
      <c r="R38" s="38" t="s">
        <v>621</v>
      </c>
      <c r="S38" s="13"/>
      <c r="T38" s="13"/>
      <c r="U38" s="120" t="s">
        <v>2209</v>
      </c>
      <c r="V38"/>
      <c r="W38"/>
      <c r="X38"/>
    </row>
    <row r="39" spans="1:24" s="40" customFormat="1" ht="60" hidden="1" customHeight="1" outlineLevel="1" x14ac:dyDescent="0.2">
      <c r="A39" s="46" t="s">
        <v>645</v>
      </c>
      <c r="B39" s="46" t="s">
        <v>693</v>
      </c>
      <c r="C39" s="46" t="s">
        <v>931</v>
      </c>
      <c r="D39" s="46" t="s">
        <v>932</v>
      </c>
      <c r="E39" s="13" t="s">
        <v>625</v>
      </c>
      <c r="F39" s="13" t="s">
        <v>614</v>
      </c>
      <c r="G39" s="13" t="s">
        <v>737</v>
      </c>
      <c r="H39" s="15">
        <v>445</v>
      </c>
      <c r="I39" s="17" t="s">
        <v>662</v>
      </c>
      <c r="J39" s="19">
        <f>IF(H39&gt;0,(H39*VLOOKUP(Lookups!$K$11,Lookups!$M$10:$P$40,4,0)/VLOOKUP(I39,Lookups!$M$10:$P$40,4,0)),"")</f>
        <v>511.02590096094605</v>
      </c>
      <c r="K39" s="15"/>
      <c r="L39" s="17"/>
      <c r="M39" s="19" t="str">
        <f>IF(K39&gt;0,(K39*VLOOKUP(Lookups!$K$11,Lookups!$M$10:$P$40,4,0)/VLOOKUP(L39,Lookups!$M$10:$P$40,4,0)),"")</f>
        <v/>
      </c>
      <c r="N39" s="15"/>
      <c r="O39" s="17"/>
      <c r="P39" s="19" t="str">
        <f>IF(N39&gt;0,(N39*VLOOKUP(Lookups!$K$11,Lookups!$M$10:$P$40,4,0)/VLOOKUP(O39,Lookups!$M$10:$P$40,4,0)),"")</f>
        <v/>
      </c>
      <c r="Q39" s="16" t="s">
        <v>920</v>
      </c>
      <c r="R39" s="38" t="s">
        <v>621</v>
      </c>
      <c r="S39" s="13"/>
      <c r="T39" s="13"/>
      <c r="U39" s="120" t="s">
        <v>2209</v>
      </c>
      <c r="V39"/>
      <c r="W39"/>
      <c r="X39"/>
    </row>
    <row r="40" spans="1:24" s="40" customFormat="1" ht="60" hidden="1" customHeight="1" outlineLevel="1" x14ac:dyDescent="0.2">
      <c r="A40" s="46" t="s">
        <v>645</v>
      </c>
      <c r="B40" s="46" t="s">
        <v>693</v>
      </c>
      <c r="C40" s="46" t="s">
        <v>933</v>
      </c>
      <c r="D40" s="46" t="s">
        <v>934</v>
      </c>
      <c r="E40" s="13" t="s">
        <v>625</v>
      </c>
      <c r="F40" s="13" t="s">
        <v>614</v>
      </c>
      <c r="G40" s="13" t="s">
        <v>737</v>
      </c>
      <c r="H40" s="15">
        <v>2500</v>
      </c>
      <c r="I40" s="17" t="s">
        <v>662</v>
      </c>
      <c r="J40" s="19">
        <f>IF(H40&gt;0,(H40*VLOOKUP(Lookups!$K$11,Lookups!$M$10:$P$40,4,0)/VLOOKUP(I40,Lookups!$M$10:$P$40,4,0)),"")</f>
        <v>2870.9320278704831</v>
      </c>
      <c r="K40" s="15"/>
      <c r="L40" s="17"/>
      <c r="M40" s="19" t="str">
        <f>IF(K40&gt;0,(K40*VLOOKUP(Lookups!$K$11,Lookups!$M$10:$P$40,4,0)/VLOOKUP(L40,Lookups!$M$10:$P$40,4,0)),"")</f>
        <v/>
      </c>
      <c r="N40" s="15"/>
      <c r="O40" s="17"/>
      <c r="P40" s="19" t="str">
        <f>IF(N40&gt;0,(N40*VLOOKUP(Lookups!$K$11,Lookups!$M$10:$P$40,4,0)/VLOOKUP(O40,Lookups!$M$10:$P$40,4,0)),"")</f>
        <v/>
      </c>
      <c r="Q40" s="16" t="s">
        <v>920</v>
      </c>
      <c r="R40" s="38" t="s">
        <v>621</v>
      </c>
      <c r="S40" s="13"/>
      <c r="T40" s="13"/>
      <c r="U40" s="120" t="s">
        <v>2209</v>
      </c>
      <c r="V40"/>
      <c r="W40"/>
      <c r="X40"/>
    </row>
    <row r="41" spans="1:24" s="40" customFormat="1" ht="60" hidden="1" customHeight="1" outlineLevel="1" x14ac:dyDescent="0.2">
      <c r="A41" s="46" t="s">
        <v>645</v>
      </c>
      <c r="B41" s="46" t="s">
        <v>693</v>
      </c>
      <c r="C41" s="46" t="s">
        <v>935</v>
      </c>
      <c r="D41" s="46" t="s">
        <v>936</v>
      </c>
      <c r="E41" s="13" t="s">
        <v>625</v>
      </c>
      <c r="F41" s="13" t="s">
        <v>614</v>
      </c>
      <c r="G41" s="13" t="s">
        <v>737</v>
      </c>
      <c r="H41" s="15">
        <v>2112</v>
      </c>
      <c r="I41" s="17" t="s">
        <v>662</v>
      </c>
      <c r="J41" s="19">
        <f>IF(H41&gt;0,(H41*VLOOKUP(Lookups!$K$11,Lookups!$M$10:$P$40,4,0)/VLOOKUP(I41,Lookups!$M$10:$P$40,4,0)),"")</f>
        <v>2425.363377144984</v>
      </c>
      <c r="K41" s="15"/>
      <c r="L41" s="17"/>
      <c r="M41" s="19" t="str">
        <f>IF(K41&gt;0,(K41*VLOOKUP(Lookups!$K$11,Lookups!$M$10:$P$40,4,0)/VLOOKUP(L41,Lookups!$M$10:$P$40,4,0)),"")</f>
        <v/>
      </c>
      <c r="N41" s="15"/>
      <c r="O41" s="17"/>
      <c r="P41" s="19" t="str">
        <f>IF(N41&gt;0,(N41*VLOOKUP(Lookups!$K$11,Lookups!$M$10:$P$40,4,0)/VLOOKUP(O41,Lookups!$M$10:$P$40,4,0)),"")</f>
        <v/>
      </c>
      <c r="Q41" s="16" t="s">
        <v>920</v>
      </c>
      <c r="R41" s="38" t="s">
        <v>621</v>
      </c>
      <c r="S41" s="13"/>
      <c r="T41" s="13"/>
      <c r="U41" s="120" t="s">
        <v>2209</v>
      </c>
      <c r="V41"/>
      <c r="W41"/>
      <c r="X41"/>
    </row>
    <row r="42" spans="1:24" s="40" customFormat="1" ht="60" hidden="1" customHeight="1" outlineLevel="1" x14ac:dyDescent="0.2">
      <c r="A42" s="46" t="s">
        <v>645</v>
      </c>
      <c r="B42" s="46" t="s">
        <v>693</v>
      </c>
      <c r="C42" s="46" t="s">
        <v>937</v>
      </c>
      <c r="D42" s="46" t="s">
        <v>938</v>
      </c>
      <c r="E42" s="13" t="s">
        <v>625</v>
      </c>
      <c r="F42" s="13" t="s">
        <v>614</v>
      </c>
      <c r="G42" s="13" t="s">
        <v>737</v>
      </c>
      <c r="H42" s="15">
        <v>2112</v>
      </c>
      <c r="I42" s="17" t="s">
        <v>662</v>
      </c>
      <c r="J42" s="19">
        <f>IF(H42&gt;0,(H42*VLOOKUP(Lookups!$K$11,Lookups!$M$10:$P$40,4,0)/VLOOKUP(I42,Lookups!$M$10:$P$40,4,0)),"")</f>
        <v>2425.363377144984</v>
      </c>
      <c r="K42" s="15"/>
      <c r="L42" s="17"/>
      <c r="M42" s="19" t="str">
        <f>IF(K42&gt;0,(K42*VLOOKUP(Lookups!$K$11,Lookups!$M$10:$P$40,4,0)/VLOOKUP(L42,Lookups!$M$10:$P$40,4,0)),"")</f>
        <v/>
      </c>
      <c r="N42" s="15"/>
      <c r="O42" s="17"/>
      <c r="P42" s="19" t="str">
        <f>IF(N42&gt;0,(N42*VLOOKUP(Lookups!$K$11,Lookups!$M$10:$P$40,4,0)/VLOOKUP(O42,Lookups!$M$10:$P$40,4,0)),"")</f>
        <v/>
      </c>
      <c r="Q42" s="16" t="s">
        <v>920</v>
      </c>
      <c r="R42" s="38" t="s">
        <v>621</v>
      </c>
      <c r="S42" s="13"/>
      <c r="T42" s="13"/>
      <c r="U42" s="120" t="s">
        <v>2209</v>
      </c>
      <c r="V42"/>
      <c r="W42"/>
      <c r="X42"/>
    </row>
    <row r="43" spans="1:24" s="40" customFormat="1" ht="60" hidden="1" customHeight="1" outlineLevel="1" x14ac:dyDescent="0.2">
      <c r="A43" s="46" t="s">
        <v>645</v>
      </c>
      <c r="B43" s="46" t="s">
        <v>693</v>
      </c>
      <c r="C43" s="46" t="s">
        <v>939</v>
      </c>
      <c r="D43" s="46" t="s">
        <v>940</v>
      </c>
      <c r="E43" s="13" t="s">
        <v>625</v>
      </c>
      <c r="F43" s="13" t="s">
        <v>614</v>
      </c>
      <c r="G43" s="13" t="s">
        <v>737</v>
      </c>
      <c r="H43" s="15">
        <v>272</v>
      </c>
      <c r="I43" s="17" t="s">
        <v>662</v>
      </c>
      <c r="J43" s="19">
        <f>IF(H43&gt;0,(H43*VLOOKUP(Lookups!$K$11,Lookups!$M$10:$P$40,4,0)/VLOOKUP(I43,Lookups!$M$10:$P$40,4,0)),"")</f>
        <v>312.3574046323086</v>
      </c>
      <c r="K43" s="15"/>
      <c r="L43" s="17"/>
      <c r="M43" s="19" t="str">
        <f>IF(K43&gt;0,(K43*VLOOKUP(Lookups!$K$11,Lookups!$M$10:$P$40,4,0)/VLOOKUP(L43,Lookups!$M$10:$P$40,4,0)),"")</f>
        <v/>
      </c>
      <c r="N43" s="15"/>
      <c r="O43" s="17"/>
      <c r="P43" s="19" t="str">
        <f>IF(N43&gt;0,(N43*VLOOKUP(Lookups!$K$11,Lookups!$M$10:$P$40,4,0)/VLOOKUP(O43,Lookups!$M$10:$P$40,4,0)),"")</f>
        <v/>
      </c>
      <c r="Q43" s="16" t="s">
        <v>920</v>
      </c>
      <c r="R43" s="38" t="s">
        <v>621</v>
      </c>
      <c r="S43" s="13"/>
      <c r="T43" s="13"/>
      <c r="U43" s="120" t="s">
        <v>2209</v>
      </c>
      <c r="V43"/>
      <c r="W43"/>
      <c r="X43"/>
    </row>
    <row r="44" spans="1:24" s="40" customFormat="1" ht="60" hidden="1" customHeight="1" outlineLevel="1" x14ac:dyDescent="0.2">
      <c r="A44" s="42" t="s">
        <v>645</v>
      </c>
      <c r="B44" s="42" t="s">
        <v>693</v>
      </c>
      <c r="C44" s="42" t="s">
        <v>1224</v>
      </c>
      <c r="D44" s="42" t="s">
        <v>1213</v>
      </c>
      <c r="E44" s="13" t="s">
        <v>625</v>
      </c>
      <c r="F44" s="13" t="s">
        <v>614</v>
      </c>
      <c r="G44" s="13" t="s">
        <v>737</v>
      </c>
      <c r="H44" s="15">
        <v>6837</v>
      </c>
      <c r="I44" s="17" t="s">
        <v>662</v>
      </c>
      <c r="J44" s="19">
        <f>IF(H44&gt;0,(H44*VLOOKUP(Lookups!$K$11,Lookups!$M$10:$P$40,4,0)/VLOOKUP(I44,Lookups!$M$10:$P$40,4,0)),"")</f>
        <v>7851.4249098201963</v>
      </c>
      <c r="K44" s="15"/>
      <c r="L44" s="17"/>
      <c r="M44" s="19" t="str">
        <f>IF(K44&gt;0,(K44*VLOOKUP(Lookups!$K$11,Lookups!$M$10:$P$40,4,0)/VLOOKUP(L44,Lookups!$M$10:$P$40,4,0)),"")</f>
        <v/>
      </c>
      <c r="N44" s="15"/>
      <c r="O44" s="17"/>
      <c r="P44" s="19" t="str">
        <f>IF(N44&gt;0,(N44*VLOOKUP(Lookups!$K$11,Lookups!$M$10:$P$40,4,0)/VLOOKUP(O44,Lookups!$M$10:$P$40,4,0)),"")</f>
        <v/>
      </c>
      <c r="Q44" s="16" t="s">
        <v>920</v>
      </c>
      <c r="R44" s="38" t="s">
        <v>621</v>
      </c>
      <c r="S44" s="13"/>
      <c r="T44" s="13"/>
      <c r="U44" s="120" t="s">
        <v>58</v>
      </c>
      <c r="V44"/>
      <c r="W44"/>
      <c r="X44"/>
    </row>
    <row r="45" spans="1:24" s="40" customFormat="1" ht="60" hidden="1" customHeight="1" outlineLevel="1" x14ac:dyDescent="0.2">
      <c r="A45" s="46" t="s">
        <v>645</v>
      </c>
      <c r="B45" s="46" t="s">
        <v>693</v>
      </c>
      <c r="C45" s="46" t="s">
        <v>1227</v>
      </c>
      <c r="D45" s="46" t="s">
        <v>1214</v>
      </c>
      <c r="E45" s="13" t="s">
        <v>625</v>
      </c>
      <c r="F45" s="13" t="s">
        <v>614</v>
      </c>
      <c r="G45" s="13" t="s">
        <v>737</v>
      </c>
      <c r="H45" s="15">
        <v>4061</v>
      </c>
      <c r="I45" s="17" t="s">
        <v>662</v>
      </c>
      <c r="J45" s="19">
        <f>IF(H45&gt;0,(H45*VLOOKUP(Lookups!$K$11,Lookups!$M$10:$P$40,4,0)/VLOOKUP(I45,Lookups!$M$10:$P$40,4,0)),"")</f>
        <v>4663.5419860728125</v>
      </c>
      <c r="K45" s="15"/>
      <c r="L45" s="17"/>
      <c r="M45" s="19" t="str">
        <f>IF(K45&gt;0,(K45*VLOOKUP(Lookups!$K$11,Lookups!$M$10:$P$40,4,0)/VLOOKUP(L45,Lookups!$M$10:$P$40,4,0)),"")</f>
        <v/>
      </c>
      <c r="N45" s="15"/>
      <c r="O45" s="17"/>
      <c r="P45" s="19" t="str">
        <f>IF(N45&gt;0,(N45*VLOOKUP(Lookups!$K$11,Lookups!$M$10:$P$40,4,0)/VLOOKUP(O45,Lookups!$M$10:$P$40,4,0)),"")</f>
        <v/>
      </c>
      <c r="Q45" s="16" t="s">
        <v>920</v>
      </c>
      <c r="R45" s="38" t="s">
        <v>621</v>
      </c>
      <c r="S45" s="13"/>
      <c r="T45" s="13"/>
      <c r="U45" s="120" t="s">
        <v>2208</v>
      </c>
      <c r="V45"/>
      <c r="W45"/>
      <c r="X45"/>
    </row>
    <row r="46" spans="1:24" s="40" customFormat="1" ht="60" hidden="1" customHeight="1" outlineLevel="1" x14ac:dyDescent="0.2">
      <c r="A46" s="46" t="s">
        <v>645</v>
      </c>
      <c r="B46" s="46" t="s">
        <v>693</v>
      </c>
      <c r="C46" s="46" t="s">
        <v>2072</v>
      </c>
      <c r="D46" s="46" t="s">
        <v>1215</v>
      </c>
      <c r="E46" s="13" t="s">
        <v>625</v>
      </c>
      <c r="F46" s="13" t="s">
        <v>614</v>
      </c>
      <c r="G46" s="13" t="s">
        <v>737</v>
      </c>
      <c r="H46" s="15">
        <v>1650</v>
      </c>
      <c r="I46" s="17" t="s">
        <v>662</v>
      </c>
      <c r="J46" s="19">
        <f>IF(H46&gt;0,(H46*VLOOKUP(Lookups!$K$11,Lookups!$M$10:$P$40,4,0)/VLOOKUP(I46,Lookups!$M$10:$P$40,4,0)),"")</f>
        <v>1894.815138394519</v>
      </c>
      <c r="K46" s="15"/>
      <c r="L46" s="17"/>
      <c r="M46" s="19" t="str">
        <f>IF(K46&gt;0,(K46*VLOOKUP(Lookups!$K$11,Lookups!$M$10:$P$40,4,0)/VLOOKUP(L46,Lookups!$M$10:$P$40,4,0)),"")</f>
        <v/>
      </c>
      <c r="N46" s="15"/>
      <c r="O46" s="17"/>
      <c r="P46" s="19" t="str">
        <f>IF(N46&gt;0,(N46*VLOOKUP(Lookups!$K$11,Lookups!$M$10:$P$40,4,0)/VLOOKUP(O46,Lookups!$M$10:$P$40,4,0)),"")</f>
        <v/>
      </c>
      <c r="Q46" s="16" t="s">
        <v>920</v>
      </c>
      <c r="R46" s="38" t="s">
        <v>621</v>
      </c>
      <c r="S46" s="13"/>
      <c r="T46" s="13"/>
      <c r="U46" s="120" t="s">
        <v>2208</v>
      </c>
      <c r="V46"/>
      <c r="W46"/>
      <c r="X46"/>
    </row>
    <row r="47" spans="1:24" s="40" customFormat="1" ht="60" hidden="1" customHeight="1" outlineLevel="1" x14ac:dyDescent="0.2">
      <c r="A47" s="46" t="s">
        <v>645</v>
      </c>
      <c r="B47" s="46" t="s">
        <v>693</v>
      </c>
      <c r="C47" s="46" t="s">
        <v>2073</v>
      </c>
      <c r="D47" s="46" t="s">
        <v>1216</v>
      </c>
      <c r="E47" s="13" t="s">
        <v>625</v>
      </c>
      <c r="F47" s="13" t="s">
        <v>614</v>
      </c>
      <c r="G47" s="13" t="s">
        <v>737</v>
      </c>
      <c r="H47" s="15">
        <v>4800</v>
      </c>
      <c r="I47" s="17" t="s">
        <v>662</v>
      </c>
      <c r="J47" s="19">
        <f>IF(H47&gt;0,(H47*VLOOKUP(Lookups!$K$11,Lookups!$M$10:$P$40,4,0)/VLOOKUP(I47,Lookups!$M$10:$P$40,4,0)),"")</f>
        <v>5512.1894935113269</v>
      </c>
      <c r="K47" s="15"/>
      <c r="L47" s="17"/>
      <c r="M47" s="19" t="str">
        <f>IF(K47&gt;0,(K47*VLOOKUP(Lookups!$K$11,Lookups!$M$10:$P$40,4,0)/VLOOKUP(L47,Lookups!$M$10:$P$40,4,0)),"")</f>
        <v/>
      </c>
      <c r="N47" s="15"/>
      <c r="O47" s="17"/>
      <c r="P47" s="19" t="str">
        <f>IF(N47&gt;0,(N47*VLOOKUP(Lookups!$K$11,Lookups!$M$10:$P$40,4,0)/VLOOKUP(O47,Lookups!$M$10:$P$40,4,0)),"")</f>
        <v/>
      </c>
      <c r="Q47" s="16" t="s">
        <v>920</v>
      </c>
      <c r="R47" s="38" t="s">
        <v>621</v>
      </c>
      <c r="S47" s="13"/>
      <c r="T47" s="13"/>
      <c r="U47" s="120" t="s">
        <v>2208</v>
      </c>
      <c r="V47"/>
      <c r="W47"/>
      <c r="X47"/>
    </row>
    <row r="48" spans="1:24" s="40" customFormat="1" ht="60" hidden="1" customHeight="1" outlineLevel="1" x14ac:dyDescent="0.2">
      <c r="A48" s="46" t="s">
        <v>645</v>
      </c>
      <c r="B48" s="46" t="s">
        <v>693</v>
      </c>
      <c r="C48" s="46" t="s">
        <v>2074</v>
      </c>
      <c r="D48" s="46" t="s">
        <v>1217</v>
      </c>
      <c r="E48" s="13" t="s">
        <v>625</v>
      </c>
      <c r="F48" s="13" t="s">
        <v>614</v>
      </c>
      <c r="G48" s="13" t="s">
        <v>737</v>
      </c>
      <c r="H48" s="15">
        <v>2645</v>
      </c>
      <c r="I48" s="17" t="s">
        <v>662</v>
      </c>
      <c r="J48" s="19">
        <f>IF(H48&gt;0,(H48*VLOOKUP(Lookups!$K$11,Lookups!$M$10:$P$40,4,0)/VLOOKUP(I48,Lookups!$M$10:$P$40,4,0)),"")</f>
        <v>3037.4460854869712</v>
      </c>
      <c r="K48" s="15"/>
      <c r="L48" s="17"/>
      <c r="M48" s="19" t="str">
        <f>IF(K48&gt;0,(K48*VLOOKUP(Lookups!$K$11,Lookups!$M$10:$P$40,4,0)/VLOOKUP(L48,Lookups!$M$10:$P$40,4,0)),"")</f>
        <v/>
      </c>
      <c r="N48" s="15"/>
      <c r="O48" s="17"/>
      <c r="P48" s="19" t="str">
        <f>IF(N48&gt;0,(N48*VLOOKUP(Lookups!$K$11,Lookups!$M$10:$P$40,4,0)/VLOOKUP(O48,Lookups!$M$10:$P$40,4,0)),"")</f>
        <v/>
      </c>
      <c r="Q48" s="16" t="s">
        <v>920</v>
      </c>
      <c r="R48" s="38" t="s">
        <v>621</v>
      </c>
      <c r="S48" s="13"/>
      <c r="T48" s="13"/>
      <c r="U48" s="120" t="s">
        <v>2208</v>
      </c>
      <c r="V48"/>
      <c r="W48"/>
      <c r="X48"/>
    </row>
    <row r="49" spans="1:24" s="40" customFormat="1" ht="60" hidden="1" customHeight="1" outlineLevel="1" x14ac:dyDescent="0.2">
      <c r="A49" s="46" t="s">
        <v>645</v>
      </c>
      <c r="B49" s="46" t="s">
        <v>693</v>
      </c>
      <c r="C49" s="46" t="s">
        <v>2075</v>
      </c>
      <c r="D49" s="46" t="s">
        <v>1218</v>
      </c>
      <c r="E49" s="13" t="s">
        <v>625</v>
      </c>
      <c r="F49" s="13" t="s">
        <v>614</v>
      </c>
      <c r="G49" s="13" t="s">
        <v>737</v>
      </c>
      <c r="H49" s="15">
        <v>1300</v>
      </c>
      <c r="I49" s="17" t="s">
        <v>662</v>
      </c>
      <c r="J49" s="19">
        <f>IF(H49&gt;0,(H49*VLOOKUP(Lookups!$K$11,Lookups!$M$10:$P$40,4,0)/VLOOKUP(I49,Lookups!$M$10:$P$40,4,0)),"")</f>
        <v>1492.8846544926512</v>
      </c>
      <c r="K49" s="15"/>
      <c r="L49" s="17"/>
      <c r="M49" s="19" t="str">
        <f>IF(K49&gt;0,(K49*VLOOKUP(Lookups!$K$11,Lookups!$M$10:$P$40,4,0)/VLOOKUP(L49,Lookups!$M$10:$P$40,4,0)),"")</f>
        <v/>
      </c>
      <c r="N49" s="15"/>
      <c r="O49" s="17"/>
      <c r="P49" s="19" t="str">
        <f>IF(N49&gt;0,(N49*VLOOKUP(Lookups!$K$11,Lookups!$M$10:$P$40,4,0)/VLOOKUP(O49,Lookups!$M$10:$P$40,4,0)),"")</f>
        <v/>
      </c>
      <c r="Q49" s="16" t="s">
        <v>920</v>
      </c>
      <c r="R49" s="38" t="s">
        <v>621</v>
      </c>
      <c r="S49" s="13"/>
      <c r="T49" s="13"/>
      <c r="U49" s="120" t="s">
        <v>2208</v>
      </c>
      <c r="V49"/>
      <c r="W49"/>
      <c r="X49"/>
    </row>
    <row r="50" spans="1:24" s="40" customFormat="1" ht="60" hidden="1" customHeight="1" outlineLevel="1" x14ac:dyDescent="0.2">
      <c r="A50" s="46" t="s">
        <v>645</v>
      </c>
      <c r="B50" s="46" t="s">
        <v>693</v>
      </c>
      <c r="C50" s="46" t="s">
        <v>2076</v>
      </c>
      <c r="D50" s="46" t="s">
        <v>1219</v>
      </c>
      <c r="E50" s="13" t="s">
        <v>625</v>
      </c>
      <c r="F50" s="13" t="s">
        <v>614</v>
      </c>
      <c r="G50" s="13" t="s">
        <v>737</v>
      </c>
      <c r="H50" s="15">
        <v>840</v>
      </c>
      <c r="I50" s="17" t="s">
        <v>662</v>
      </c>
      <c r="J50" s="19">
        <f>IF(H50&gt;0,(H50*VLOOKUP(Lookups!$K$11,Lookups!$M$10:$P$40,4,0)/VLOOKUP(I50,Lookups!$M$10:$P$40,4,0)),"")</f>
        <v>964.63316136448225</v>
      </c>
      <c r="K50" s="15"/>
      <c r="L50" s="17"/>
      <c r="M50" s="19" t="str">
        <f>IF(K50&gt;0,(K50*VLOOKUP(Lookups!$K$11,Lookups!$M$10:$P$40,4,0)/VLOOKUP(L50,Lookups!$M$10:$P$40,4,0)),"")</f>
        <v/>
      </c>
      <c r="N50" s="15"/>
      <c r="O50" s="17"/>
      <c r="P50" s="19" t="str">
        <f>IF(N50&gt;0,(N50*VLOOKUP(Lookups!$K$11,Lookups!$M$10:$P$40,4,0)/VLOOKUP(O50,Lookups!$M$10:$P$40,4,0)),"")</f>
        <v/>
      </c>
      <c r="Q50" s="16" t="s">
        <v>920</v>
      </c>
      <c r="R50" s="38" t="s">
        <v>621</v>
      </c>
      <c r="S50" s="13"/>
      <c r="T50" s="13"/>
      <c r="U50" s="120" t="s">
        <v>2208</v>
      </c>
      <c r="V50"/>
      <c r="W50"/>
      <c r="X50"/>
    </row>
    <row r="51" spans="1:24" s="40" customFormat="1" ht="60" hidden="1" customHeight="1" outlineLevel="1" x14ac:dyDescent="0.2">
      <c r="A51" s="46" t="s">
        <v>645</v>
      </c>
      <c r="B51" s="46" t="s">
        <v>693</v>
      </c>
      <c r="C51" s="46" t="s">
        <v>2077</v>
      </c>
      <c r="D51" s="46" t="s">
        <v>1220</v>
      </c>
      <c r="E51" s="13" t="s">
        <v>625</v>
      </c>
      <c r="F51" s="13" t="s">
        <v>614</v>
      </c>
      <c r="G51" s="13" t="s">
        <v>737</v>
      </c>
      <c r="H51" s="15">
        <v>1400</v>
      </c>
      <c r="I51" s="17" t="s">
        <v>662</v>
      </c>
      <c r="J51" s="19">
        <f>IF(H51&gt;0,(H51*VLOOKUP(Lookups!$K$11,Lookups!$M$10:$P$40,4,0)/VLOOKUP(I51,Lookups!$M$10:$P$40,4,0)),"")</f>
        <v>1607.7219356074706</v>
      </c>
      <c r="K51" s="15"/>
      <c r="L51" s="17"/>
      <c r="M51" s="19" t="str">
        <f>IF(K51&gt;0,(K51*VLOOKUP(Lookups!$K$11,Lookups!$M$10:$P$40,4,0)/VLOOKUP(L51,Lookups!$M$10:$P$40,4,0)),"")</f>
        <v/>
      </c>
      <c r="N51" s="15"/>
      <c r="O51" s="17"/>
      <c r="P51" s="19" t="str">
        <f>IF(N51&gt;0,(N51*VLOOKUP(Lookups!$K$11,Lookups!$M$10:$P$40,4,0)/VLOOKUP(O51,Lookups!$M$10:$P$40,4,0)),"")</f>
        <v/>
      </c>
      <c r="Q51" s="16" t="s">
        <v>920</v>
      </c>
      <c r="R51" s="38" t="s">
        <v>621</v>
      </c>
      <c r="S51" s="13"/>
      <c r="T51" s="13"/>
      <c r="U51" s="120" t="s">
        <v>2208</v>
      </c>
      <c r="V51"/>
      <c r="W51"/>
      <c r="X51"/>
    </row>
    <row r="52" spans="1:24" s="40" customFormat="1" ht="60" hidden="1" customHeight="1" outlineLevel="1" x14ac:dyDescent="0.2">
      <c r="A52" s="46" t="s">
        <v>645</v>
      </c>
      <c r="B52" s="46" t="s">
        <v>693</v>
      </c>
      <c r="C52" s="46" t="s">
        <v>2078</v>
      </c>
      <c r="D52" s="46" t="s">
        <v>1221</v>
      </c>
      <c r="E52" s="13" t="s">
        <v>625</v>
      </c>
      <c r="F52" s="13" t="s">
        <v>614</v>
      </c>
      <c r="G52" s="13" t="s">
        <v>737</v>
      </c>
      <c r="H52" s="15">
        <v>2400</v>
      </c>
      <c r="I52" s="17" t="s">
        <v>662</v>
      </c>
      <c r="J52" s="19">
        <f>IF(H52&gt;0,(H52*VLOOKUP(Lookups!$K$11,Lookups!$M$10:$P$40,4,0)/VLOOKUP(I52,Lookups!$M$10:$P$40,4,0)),"")</f>
        <v>2756.0947467556634</v>
      </c>
      <c r="K52" s="15"/>
      <c r="L52" s="17"/>
      <c r="M52" s="19" t="str">
        <f>IF(K52&gt;0,(K52*VLOOKUP(Lookups!$K$11,Lookups!$M$10:$P$40,4,0)/VLOOKUP(L52,Lookups!$M$10:$P$40,4,0)),"")</f>
        <v/>
      </c>
      <c r="N52" s="15"/>
      <c r="O52" s="17"/>
      <c r="P52" s="19" t="str">
        <f>IF(N52&gt;0,(N52*VLOOKUP(Lookups!$K$11,Lookups!$M$10:$P$40,4,0)/VLOOKUP(O52,Lookups!$M$10:$P$40,4,0)),"")</f>
        <v/>
      </c>
      <c r="Q52" s="16" t="s">
        <v>920</v>
      </c>
      <c r="R52" s="38" t="s">
        <v>621</v>
      </c>
      <c r="S52" s="13"/>
      <c r="T52" s="13"/>
      <c r="U52" s="120" t="s">
        <v>2208</v>
      </c>
      <c r="V52"/>
      <c r="W52"/>
      <c r="X52"/>
    </row>
    <row r="53" spans="1:24" s="40" customFormat="1" ht="60" hidden="1" customHeight="1" outlineLevel="1" x14ac:dyDescent="0.2">
      <c r="A53" s="46" t="s">
        <v>645</v>
      </c>
      <c r="B53" s="46" t="s">
        <v>693</v>
      </c>
      <c r="C53" s="46" t="s">
        <v>2079</v>
      </c>
      <c r="D53" s="46" t="s">
        <v>1222</v>
      </c>
      <c r="E53" s="13" t="s">
        <v>625</v>
      </c>
      <c r="F53" s="13" t="s">
        <v>614</v>
      </c>
      <c r="G53" s="13" t="s">
        <v>737</v>
      </c>
      <c r="H53" s="15">
        <v>400</v>
      </c>
      <c r="I53" s="17" t="s">
        <v>662</v>
      </c>
      <c r="J53" s="19">
        <f>IF(H53&gt;0,(H53*VLOOKUP(Lookups!$K$11,Lookups!$M$10:$P$40,4,0)/VLOOKUP(I53,Lookups!$M$10:$P$40,4,0)),"")</f>
        <v>459.34912445927733</v>
      </c>
      <c r="K53" s="15"/>
      <c r="L53" s="17"/>
      <c r="M53" s="19" t="str">
        <f>IF(K53&gt;0,(K53*VLOOKUP(Lookups!$K$11,Lookups!$M$10:$P$40,4,0)/VLOOKUP(L53,Lookups!$M$10:$P$40,4,0)),"")</f>
        <v/>
      </c>
      <c r="N53" s="15"/>
      <c r="O53" s="17"/>
      <c r="P53" s="19" t="str">
        <f>IF(N53&gt;0,(N53*VLOOKUP(Lookups!$K$11,Lookups!$M$10:$P$40,4,0)/VLOOKUP(O53,Lookups!$M$10:$P$40,4,0)),"")</f>
        <v/>
      </c>
      <c r="Q53" s="16" t="s">
        <v>920</v>
      </c>
      <c r="R53" s="38" t="s">
        <v>621</v>
      </c>
      <c r="S53" s="13"/>
      <c r="T53" s="13"/>
      <c r="U53" s="120" t="s">
        <v>2208</v>
      </c>
      <c r="V53"/>
      <c r="W53"/>
      <c r="X53"/>
    </row>
    <row r="54" spans="1:24" s="40" customFormat="1" ht="60" hidden="1" customHeight="1" outlineLevel="1" x14ac:dyDescent="0.2">
      <c r="A54" s="46" t="s">
        <v>645</v>
      </c>
      <c r="B54" s="46" t="s">
        <v>693</v>
      </c>
      <c r="C54" s="46" t="s">
        <v>2080</v>
      </c>
      <c r="D54" s="46" t="s">
        <v>1223</v>
      </c>
      <c r="E54" s="13" t="s">
        <v>632</v>
      </c>
      <c r="F54" s="13" t="s">
        <v>614</v>
      </c>
      <c r="G54" s="13" t="s">
        <v>737</v>
      </c>
      <c r="H54" s="15">
        <v>4898</v>
      </c>
      <c r="I54" s="17" t="s">
        <v>662</v>
      </c>
      <c r="J54" s="19">
        <f>IF(H54&gt;0,(H54*VLOOKUP(Lookups!$K$11,Lookups!$M$10:$P$40,4,0)/VLOOKUP(I54,Lookups!$M$10:$P$40,4,0)),"")</f>
        <v>5624.7300290038502</v>
      </c>
      <c r="K54" s="15"/>
      <c r="L54" s="17"/>
      <c r="M54" s="19" t="str">
        <f>IF(K54&gt;0,(K54*VLOOKUP(Lookups!$K$11,Lookups!$M$10:$P$40,4,0)/VLOOKUP(L54,Lookups!$M$10:$P$40,4,0)),"")</f>
        <v/>
      </c>
      <c r="N54" s="15"/>
      <c r="O54" s="17"/>
      <c r="P54" s="19" t="str">
        <f>IF(N54&gt;0,(N54*VLOOKUP(Lookups!$K$11,Lookups!$M$10:$P$40,4,0)/VLOOKUP(O54,Lookups!$M$10:$P$40,4,0)),"")</f>
        <v/>
      </c>
      <c r="Q54" s="16" t="s">
        <v>920</v>
      </c>
      <c r="R54" s="38" t="s">
        <v>621</v>
      </c>
      <c r="S54" s="13"/>
      <c r="T54" s="13"/>
      <c r="U54" s="120" t="s">
        <v>55</v>
      </c>
      <c r="V54"/>
      <c r="W54"/>
      <c r="X54"/>
    </row>
    <row r="55" spans="1:24" s="40" customFormat="1" ht="60" customHeight="1" collapsed="1" x14ac:dyDescent="0.2">
      <c r="A55" s="42" t="s">
        <v>645</v>
      </c>
      <c r="B55" s="42" t="s">
        <v>693</v>
      </c>
      <c r="C55" s="42" t="s">
        <v>1229</v>
      </c>
      <c r="D55" s="42" t="s">
        <v>1734</v>
      </c>
      <c r="E55" s="13" t="s">
        <v>637</v>
      </c>
      <c r="F55" s="13" t="s">
        <v>1348</v>
      </c>
      <c r="G55" s="13"/>
      <c r="H55" s="15">
        <v>593</v>
      </c>
      <c r="I55" s="17" t="s">
        <v>660</v>
      </c>
      <c r="J55" s="19">
        <f>IF(H55&gt;0,(H55*VLOOKUP(Lookups!$K$11,Lookups!$M$10:$P$40,4,0)/VLOOKUP(I55,Lookups!$M$10:$P$40,4,0)),"")</f>
        <v>718.50355894335871</v>
      </c>
      <c r="K55" s="15"/>
      <c r="L55" s="17"/>
      <c r="M55" s="19" t="str">
        <f>IF(K55&gt;0,(K55*VLOOKUP(Lookups!$K$11,Lookups!$M$10:$P$40,4,0)/VLOOKUP(L55,Lookups!$M$10:$P$40,4,0)),"")</f>
        <v/>
      </c>
      <c r="N55" s="15"/>
      <c r="O55" s="17"/>
      <c r="P55" s="19" t="str">
        <f>IF(N55&gt;0,(N55*VLOOKUP(Lookups!$K$11,Lookups!$M$10:$P$40,4,0)/VLOOKUP(O55,Lookups!$M$10:$P$40,4,0)),"")</f>
        <v/>
      </c>
      <c r="Q55" s="13" t="s">
        <v>1225</v>
      </c>
      <c r="R55" s="38" t="s">
        <v>619</v>
      </c>
      <c r="S55" s="13" t="s">
        <v>1226</v>
      </c>
      <c r="T55" s="13"/>
      <c r="U55" s="120" t="s">
        <v>2208</v>
      </c>
      <c r="V55"/>
      <c r="W55"/>
      <c r="X55"/>
    </row>
    <row r="56" spans="1:24" s="40" customFormat="1" ht="60" hidden="1" customHeight="1" outlineLevel="1" x14ac:dyDescent="0.2">
      <c r="A56" s="46" t="s">
        <v>645</v>
      </c>
      <c r="B56" s="46" t="s">
        <v>693</v>
      </c>
      <c r="C56" s="46" t="s">
        <v>1230</v>
      </c>
      <c r="D56" s="46" t="s">
        <v>560</v>
      </c>
      <c r="E56" s="13" t="s">
        <v>637</v>
      </c>
      <c r="F56" s="13" t="s">
        <v>1348</v>
      </c>
      <c r="G56" s="13"/>
      <c r="H56" s="15">
        <v>285</v>
      </c>
      <c r="I56" s="17" t="s">
        <v>660</v>
      </c>
      <c r="J56" s="19">
        <f>IF(H56&gt;0,(H56*VLOOKUP(Lookups!$K$11,Lookups!$M$10:$P$40,4,0)/VLOOKUP(I56,Lookups!$M$10:$P$40,4,0)),"")</f>
        <v>345.31789932353666</v>
      </c>
      <c r="K56" s="15"/>
      <c r="L56" s="17"/>
      <c r="M56" s="19" t="str">
        <f>IF(K56&gt;0,(K56*VLOOKUP(Lookups!$K$11,Lookups!$M$10:$P$40,4,0)/VLOOKUP(L56,Lookups!$M$10:$P$40,4,0)),"")</f>
        <v/>
      </c>
      <c r="N56" s="15"/>
      <c r="O56" s="17"/>
      <c r="P56" s="19" t="str">
        <f>IF(N56&gt;0,(N56*VLOOKUP(Lookups!$K$11,Lookups!$M$10:$P$40,4,0)/VLOOKUP(O56,Lookups!$M$10:$P$40,4,0)),"")</f>
        <v/>
      </c>
      <c r="Q56" s="13" t="s">
        <v>1225</v>
      </c>
      <c r="R56" s="38" t="s">
        <v>619</v>
      </c>
      <c r="S56" s="13" t="s">
        <v>1228</v>
      </c>
      <c r="T56" s="13"/>
      <c r="U56" s="120" t="s">
        <v>2208</v>
      </c>
      <c r="V56"/>
      <c r="W56"/>
      <c r="X56"/>
    </row>
    <row r="57" spans="1:24" s="40" customFormat="1" ht="59.25" customHeight="1" collapsed="1" x14ac:dyDescent="0.2">
      <c r="A57" s="42" t="s">
        <v>645</v>
      </c>
      <c r="B57" s="42" t="s">
        <v>1447</v>
      </c>
      <c r="C57" s="42" t="s">
        <v>2081</v>
      </c>
      <c r="D57" s="42" t="s">
        <v>2034</v>
      </c>
      <c r="E57" s="13" t="s">
        <v>637</v>
      </c>
      <c r="F57" s="13" t="s">
        <v>712</v>
      </c>
      <c r="G57" s="13"/>
      <c r="H57" s="15">
        <v>609</v>
      </c>
      <c r="I57" s="17" t="s">
        <v>664</v>
      </c>
      <c r="J57" s="19">
        <f>IF(H57&gt;0,(H57*VLOOKUP(Lookups!$K$11,Lookups!$M$10:$P$40,4,0)/VLOOKUP(I57,Lookups!$M$10:$P$40,4,0)),"")</f>
        <v>663.37397068783184</v>
      </c>
      <c r="K57" s="15">
        <v>676</v>
      </c>
      <c r="L57" s="17" t="s">
        <v>664</v>
      </c>
      <c r="M57" s="19">
        <f>IF(K57&gt;0,(K57*VLOOKUP(Lookups!$K$11,Lookups!$M$10:$P$40,4,0)/VLOOKUP(L57,Lookups!$M$10:$P$40,4,0)),"")</f>
        <v>736.3560003037345</v>
      </c>
      <c r="N57" s="15">
        <v>1648</v>
      </c>
      <c r="O57" s="17" t="s">
        <v>664</v>
      </c>
      <c r="P57" s="19">
        <f>IF(N57&gt;0,(N57*VLOOKUP(Lookups!$K$11,Lookups!$M$10:$P$40,4,0)/VLOOKUP(O57,Lookups!$M$10:$P$40,4,0)),"")</f>
        <v>1795.1400717463825</v>
      </c>
      <c r="Q57" s="13" t="s">
        <v>2503</v>
      </c>
      <c r="R57" s="38" t="s">
        <v>621</v>
      </c>
      <c r="S57" s="13" t="s">
        <v>2510</v>
      </c>
      <c r="T57" s="13" t="s">
        <v>1912</v>
      </c>
      <c r="U57" s="13" t="s">
        <v>2504</v>
      </c>
      <c r="V57"/>
      <c r="W57"/>
      <c r="X57"/>
    </row>
    <row r="58" spans="1:24" s="40" customFormat="1" ht="60" hidden="1" customHeight="1" outlineLevel="2" x14ac:dyDescent="0.2">
      <c r="A58" s="37" t="s">
        <v>645</v>
      </c>
      <c r="B58" s="37" t="s">
        <v>1447</v>
      </c>
      <c r="C58" s="37" t="s">
        <v>166</v>
      </c>
      <c r="D58" s="45" t="s">
        <v>1802</v>
      </c>
      <c r="E58" s="13" t="s">
        <v>637</v>
      </c>
      <c r="F58" s="13" t="s">
        <v>1348</v>
      </c>
      <c r="G58" s="13"/>
      <c r="H58" s="15">
        <v>227.92</v>
      </c>
      <c r="I58" s="17" t="s">
        <v>664</v>
      </c>
      <c r="J58" s="19">
        <f>IF(H58&gt;0,(H58*VLOOKUP(Lookups!$K$11,Lookups!$M$10:$P$40,4,0)/VLOOKUP(I58,Lookups!$M$10:$P$40,4,0)),"")</f>
        <v>248.26961477696327</v>
      </c>
      <c r="K58" s="15"/>
      <c r="L58" s="17"/>
      <c r="M58" s="19" t="str">
        <f>IF(K58&gt;0,(K58*VLOOKUP(Lookups!$K$11,Lookups!$M$10:$P$40,4,0)/VLOOKUP(L58,Lookups!$M$10:$P$40,4,0)),"")</f>
        <v/>
      </c>
      <c r="N58" s="15"/>
      <c r="O58" s="17"/>
      <c r="P58" s="19" t="str">
        <f>IF(N58&gt;0,(N58*VLOOKUP(Lookups!$K$11,Lookups!$M$10:$P$40,4,0)/VLOOKUP(O58,Lookups!$M$10:$P$40,4,0)),"")</f>
        <v/>
      </c>
      <c r="Q58" s="13" t="s">
        <v>2503</v>
      </c>
      <c r="R58" s="38" t="s">
        <v>621</v>
      </c>
      <c r="S58" s="13"/>
      <c r="T58" s="13"/>
      <c r="U58" s="120" t="s">
        <v>2506</v>
      </c>
      <c r="V58"/>
      <c r="W58"/>
      <c r="X58"/>
    </row>
    <row r="59" spans="1:24" s="40" customFormat="1" ht="60" hidden="1" customHeight="1" outlineLevel="2" x14ac:dyDescent="0.2">
      <c r="A59" s="37" t="s">
        <v>645</v>
      </c>
      <c r="B59" s="37" t="s">
        <v>1447</v>
      </c>
      <c r="C59" s="37" t="s">
        <v>2082</v>
      </c>
      <c r="D59" s="45" t="s">
        <v>1803</v>
      </c>
      <c r="E59" s="13" t="s">
        <v>637</v>
      </c>
      <c r="F59" s="13" t="s">
        <v>667</v>
      </c>
      <c r="G59" s="13"/>
      <c r="H59" s="15">
        <v>21.2</v>
      </c>
      <c r="I59" s="17" t="s">
        <v>664</v>
      </c>
      <c r="J59" s="19">
        <f>IF(H59&gt;0,(H59*VLOOKUP(Lookups!$K$11,Lookups!$M$10:$P$40,4,0)/VLOOKUP(I59,Lookups!$M$10:$P$40,4,0)),"")</f>
        <v>23.09282131130055</v>
      </c>
      <c r="K59" s="15"/>
      <c r="L59" s="17"/>
      <c r="M59" s="19" t="str">
        <f>IF(K59&gt;0,(K59*VLOOKUP(Lookups!$K$11,Lookups!$M$10:$P$40,4,0)/VLOOKUP(L59,Lookups!$M$10:$P$40,4,0)),"")</f>
        <v/>
      </c>
      <c r="N59" s="15"/>
      <c r="O59" s="17"/>
      <c r="P59" s="19" t="str">
        <f>IF(N59&gt;0,(N59*VLOOKUP(Lookups!$K$11,Lookups!$M$10:$P$40,4,0)/VLOOKUP(O59,Lookups!$M$10:$P$40,4,0)),"")</f>
        <v/>
      </c>
      <c r="Q59" s="13" t="s">
        <v>2503</v>
      </c>
      <c r="R59" s="38" t="s">
        <v>621</v>
      </c>
      <c r="S59" s="13"/>
      <c r="T59" s="13"/>
      <c r="U59" s="120" t="s">
        <v>2506</v>
      </c>
      <c r="V59"/>
      <c r="W59"/>
      <c r="X59"/>
    </row>
    <row r="60" spans="1:24" s="40" customFormat="1" ht="60" hidden="1" customHeight="1" outlineLevel="2" x14ac:dyDescent="0.2">
      <c r="A60" s="37" t="s">
        <v>645</v>
      </c>
      <c r="B60" s="37" t="s">
        <v>1447</v>
      </c>
      <c r="C60" s="37" t="s">
        <v>2083</v>
      </c>
      <c r="D60" s="45" t="s">
        <v>1804</v>
      </c>
      <c r="E60" s="13" t="s">
        <v>637</v>
      </c>
      <c r="F60" s="13" t="s">
        <v>737</v>
      </c>
      <c r="G60" s="13" t="s">
        <v>1418</v>
      </c>
      <c r="H60" s="15">
        <v>81.12</v>
      </c>
      <c r="I60" s="17" t="s">
        <v>664</v>
      </c>
      <c r="J60" s="19">
        <f>IF(H60&gt;0,(H60*VLOOKUP(Lookups!$K$11,Lookups!$M$10:$P$40,4,0)/VLOOKUP(I60,Lookups!$M$10:$P$40,4,0)),"")</f>
        <v>88.362720036448138</v>
      </c>
      <c r="K60" s="15"/>
      <c r="L60" s="17"/>
      <c r="M60" s="19" t="str">
        <f>IF(K60&gt;0,(K60*VLOOKUP(Lookups!$K$11,Lookups!$M$10:$P$40,4,0)/VLOOKUP(L60,Lookups!$M$10:$P$40,4,0)),"")</f>
        <v/>
      </c>
      <c r="N60" s="15"/>
      <c r="O60" s="17"/>
      <c r="P60" s="19" t="str">
        <f>IF(N60&gt;0,(N60*VLOOKUP(Lookups!$K$11,Lookups!$M$10:$P$40,4,0)/VLOOKUP(O60,Lookups!$M$10:$P$40,4,0)),"")</f>
        <v/>
      </c>
      <c r="Q60" s="13" t="s">
        <v>2503</v>
      </c>
      <c r="R60" s="38" t="s">
        <v>621</v>
      </c>
      <c r="S60" s="13"/>
      <c r="T60" s="13"/>
      <c r="U60" s="120" t="s">
        <v>2506</v>
      </c>
      <c r="V60"/>
      <c r="W60"/>
      <c r="X60"/>
    </row>
    <row r="61" spans="1:24" s="40" customFormat="1" ht="60" hidden="1" customHeight="1" outlineLevel="2" x14ac:dyDescent="0.2">
      <c r="A61" s="37" t="s">
        <v>645</v>
      </c>
      <c r="B61" s="37" t="s">
        <v>1447</v>
      </c>
      <c r="C61" s="37" t="s">
        <v>2084</v>
      </c>
      <c r="D61" s="45" t="s">
        <v>1994</v>
      </c>
      <c r="E61" s="13" t="s">
        <v>637</v>
      </c>
      <c r="F61" s="13" t="s">
        <v>674</v>
      </c>
      <c r="G61" s="13"/>
      <c r="H61" s="15">
        <v>108.03</v>
      </c>
      <c r="I61" s="17" t="s">
        <v>664</v>
      </c>
      <c r="J61" s="19">
        <f>IF(H61&gt;0,(H61*VLOOKUP(Lookups!$K$11,Lookups!$M$10:$P$40,4,0)/VLOOKUP(I61,Lookups!$M$10:$P$40,4,0)),"")</f>
        <v>117.67535312546219</v>
      </c>
      <c r="K61" s="15"/>
      <c r="L61" s="17"/>
      <c r="M61" s="19" t="str">
        <f>IF(K61&gt;0,(K61*VLOOKUP(Lookups!$K$11,Lookups!$M$10:$P$40,4,0)/VLOOKUP(L61,Lookups!$M$10:$P$40,4,0)),"")</f>
        <v/>
      </c>
      <c r="N61" s="15"/>
      <c r="O61" s="17"/>
      <c r="P61" s="19" t="str">
        <f>IF(N61&gt;0,(N61*VLOOKUP(Lookups!$K$11,Lookups!$M$10:$P$40,4,0)/VLOOKUP(O61,Lookups!$M$10:$P$40,4,0)),"")</f>
        <v/>
      </c>
      <c r="Q61" s="13" t="s">
        <v>2503</v>
      </c>
      <c r="R61" s="38" t="s">
        <v>621</v>
      </c>
      <c r="S61" s="13"/>
      <c r="T61" s="13"/>
      <c r="U61" s="120" t="s">
        <v>2506</v>
      </c>
      <c r="V61"/>
      <c r="W61"/>
      <c r="X61"/>
    </row>
    <row r="62" spans="1:24" s="40" customFormat="1" ht="60" hidden="1" customHeight="1" outlineLevel="2" x14ac:dyDescent="0.2">
      <c r="A62" s="37" t="s">
        <v>645</v>
      </c>
      <c r="B62" s="37" t="s">
        <v>1447</v>
      </c>
      <c r="C62" s="37" t="s">
        <v>2085</v>
      </c>
      <c r="D62" s="45" t="s">
        <v>1995</v>
      </c>
      <c r="E62" s="13" t="s">
        <v>637</v>
      </c>
      <c r="F62" s="13" t="s">
        <v>712</v>
      </c>
      <c r="G62" s="13"/>
      <c r="H62" s="15">
        <v>58.3</v>
      </c>
      <c r="I62" s="17" t="s">
        <v>664</v>
      </c>
      <c r="J62" s="19">
        <f>IF(H62&gt;0,(H62*VLOOKUP(Lookups!$K$11,Lookups!$M$10:$P$40,4,0)/VLOOKUP(I62,Lookups!$M$10:$P$40,4,0)),"")</f>
        <v>63.505258606076509</v>
      </c>
      <c r="K62" s="15"/>
      <c r="L62" s="17"/>
      <c r="M62" s="19" t="str">
        <f>IF(K62&gt;0,(K62*VLOOKUP(Lookups!$K$11,Lookups!$M$10:$P$40,4,0)/VLOOKUP(L62,Lookups!$M$10:$P$40,4,0)),"")</f>
        <v/>
      </c>
      <c r="N62" s="15"/>
      <c r="O62" s="17"/>
      <c r="P62" s="19" t="str">
        <f>IF(N62&gt;0,(N62*VLOOKUP(Lookups!$K$11,Lookups!$M$10:$P$40,4,0)/VLOOKUP(O62,Lookups!$M$10:$P$40,4,0)),"")</f>
        <v/>
      </c>
      <c r="Q62" s="13" t="s">
        <v>2503</v>
      </c>
      <c r="R62" s="38" t="s">
        <v>621</v>
      </c>
      <c r="S62" s="13"/>
      <c r="T62" s="13"/>
      <c r="U62" s="120" t="s">
        <v>2506</v>
      </c>
      <c r="V62"/>
      <c r="W62"/>
      <c r="X62"/>
    </row>
    <row r="63" spans="1:24" s="40" customFormat="1" ht="60" hidden="1" customHeight="1" outlineLevel="2" x14ac:dyDescent="0.2">
      <c r="A63" s="37" t="s">
        <v>645</v>
      </c>
      <c r="B63" s="37" t="s">
        <v>1447</v>
      </c>
      <c r="C63" s="37" t="s">
        <v>2086</v>
      </c>
      <c r="D63" s="45" t="s">
        <v>1996</v>
      </c>
      <c r="E63" s="13" t="s">
        <v>637</v>
      </c>
      <c r="F63" s="13" t="s">
        <v>629</v>
      </c>
      <c r="G63" s="13"/>
      <c r="H63" s="15">
        <v>112.42</v>
      </c>
      <c r="I63" s="17" t="s">
        <v>664</v>
      </c>
      <c r="J63" s="19">
        <f>IF(H63&gt;0,(H63*VLOOKUP(Lookups!$K$11,Lookups!$M$10:$P$40,4,0)/VLOOKUP(I63,Lookups!$M$10:$P$40,4,0)),"")</f>
        <v>122.45730999133998</v>
      </c>
      <c r="K63" s="15"/>
      <c r="L63" s="17"/>
      <c r="M63" s="19" t="str">
        <f>IF(K63&gt;0,(K63*VLOOKUP(Lookups!$K$11,Lookups!$M$10:$P$40,4,0)/VLOOKUP(L63,Lookups!$M$10:$P$40,4,0)),"")</f>
        <v/>
      </c>
      <c r="N63" s="15"/>
      <c r="O63" s="17"/>
      <c r="P63" s="19" t="str">
        <f>IF(N63&gt;0,(N63*VLOOKUP(Lookups!$K$11,Lookups!$M$10:$P$40,4,0)/VLOOKUP(O63,Lookups!$M$10:$P$40,4,0)),"")</f>
        <v/>
      </c>
      <c r="Q63" s="13" t="s">
        <v>2503</v>
      </c>
      <c r="R63" s="38" t="s">
        <v>621</v>
      </c>
      <c r="S63" s="13"/>
      <c r="T63" s="13"/>
      <c r="U63" s="120" t="s">
        <v>2506</v>
      </c>
      <c r="V63"/>
      <c r="W63"/>
      <c r="X63"/>
    </row>
    <row r="64" spans="1:24" s="40" customFormat="1" ht="60" hidden="1" customHeight="1" outlineLevel="1" x14ac:dyDescent="0.2">
      <c r="A64" s="46" t="s">
        <v>645</v>
      </c>
      <c r="B64" s="46" t="s">
        <v>691</v>
      </c>
      <c r="C64" s="46" t="s">
        <v>2087</v>
      </c>
      <c r="D64" s="46" t="s">
        <v>2040</v>
      </c>
      <c r="E64" s="13" t="s">
        <v>637</v>
      </c>
      <c r="F64" s="13" t="s">
        <v>712</v>
      </c>
      <c r="G64" s="13"/>
      <c r="H64" s="15">
        <v>174363</v>
      </c>
      <c r="I64" s="17" t="s">
        <v>664</v>
      </c>
      <c r="J64" s="19">
        <f>IF(H64&gt;0,(H64*VLOOKUP(Lookups!$K$11,Lookups!$M$10:$P$40,4,0)/VLOOKUP(I64,Lookups!$M$10:$P$40,4,0)),"")</f>
        <v>189930.83029727821</v>
      </c>
      <c r="K64" s="15">
        <v>535120</v>
      </c>
      <c r="L64" s="17" t="s">
        <v>664</v>
      </c>
      <c r="M64" s="19">
        <f>IF(K64&gt;0,(K64*VLOOKUP(Lookups!$K$11,Lookups!$M$10:$P$40,4,0)/VLOOKUP(L64,Lookups!$M$10:$P$40,4,0)),"")</f>
        <v>582897.66698599758</v>
      </c>
      <c r="N64" s="112">
        <v>1069481</v>
      </c>
      <c r="O64" s="17" t="s">
        <v>664</v>
      </c>
      <c r="P64" s="19">
        <f>IF(N64&gt;0,(N64*VLOOKUP(Lookups!$K$11,Lookups!$M$10:$P$40,4,0)/VLOOKUP(O64,Lookups!$M$10:$P$40,4,0)),"")</f>
        <v>1164968.5673976899</v>
      </c>
      <c r="Q64" s="13" t="s">
        <v>2503</v>
      </c>
      <c r="R64" s="38" t="s">
        <v>621</v>
      </c>
      <c r="S64" s="13" t="s">
        <v>386</v>
      </c>
      <c r="T64" s="13" t="s">
        <v>1912</v>
      </c>
      <c r="U64" s="13" t="s">
        <v>2504</v>
      </c>
      <c r="V64"/>
      <c r="W64"/>
      <c r="X64"/>
    </row>
    <row r="65" spans="1:24" s="40" customFormat="1" ht="60" hidden="1" customHeight="1" outlineLevel="2" x14ac:dyDescent="0.2">
      <c r="A65" s="37" t="s">
        <v>645</v>
      </c>
      <c r="B65" s="37" t="s">
        <v>691</v>
      </c>
      <c r="C65" s="37" t="s">
        <v>2088</v>
      </c>
      <c r="D65" s="45" t="s">
        <v>1997</v>
      </c>
      <c r="E65" s="13" t="s">
        <v>637</v>
      </c>
      <c r="F65" s="13" t="s">
        <v>1348</v>
      </c>
      <c r="G65" s="13"/>
      <c r="H65" s="15">
        <v>17672</v>
      </c>
      <c r="I65" s="17" t="s">
        <v>664</v>
      </c>
      <c r="J65" s="19">
        <f>IF(H65&gt;0,(H65*VLOOKUP(Lookups!$K$11,Lookups!$M$10:$P$40,4,0)/VLOOKUP(I65,Lookups!$M$10:$P$40,4,0)),"")</f>
        <v>19249.827274212421</v>
      </c>
      <c r="K65" s="15"/>
      <c r="L65" s="17"/>
      <c r="M65" s="19" t="str">
        <f>IF(K65&gt;0,(K65*VLOOKUP(Lookups!$K$11,Lookups!$M$10:$P$40,4,0)/VLOOKUP(L65,Lookups!$M$10:$P$40,4,0)),"")</f>
        <v/>
      </c>
      <c r="N65" s="15"/>
      <c r="O65" s="17"/>
      <c r="P65" s="19" t="str">
        <f>IF(N65&gt;0,(N65*VLOOKUP(Lookups!$K$11,Lookups!$M$10:$P$40,4,0)/VLOOKUP(O65,Lookups!$M$10:$P$40,4,0)),"")</f>
        <v/>
      </c>
      <c r="Q65" s="13" t="s">
        <v>2503</v>
      </c>
      <c r="R65" s="38" t="s">
        <v>621</v>
      </c>
      <c r="S65" s="13"/>
      <c r="T65" s="13"/>
      <c r="U65" s="120" t="s">
        <v>2506</v>
      </c>
      <c r="V65"/>
      <c r="W65"/>
      <c r="X65"/>
    </row>
    <row r="66" spans="1:24" s="40" customFormat="1" ht="60" hidden="1" customHeight="1" outlineLevel="2" x14ac:dyDescent="0.2">
      <c r="A66" s="37" t="s">
        <v>645</v>
      </c>
      <c r="B66" s="37" t="s">
        <v>691</v>
      </c>
      <c r="C66" s="37" t="s">
        <v>2089</v>
      </c>
      <c r="D66" s="45" t="s">
        <v>2021</v>
      </c>
      <c r="E66" s="13" t="s">
        <v>637</v>
      </c>
      <c r="F66" s="13" t="s">
        <v>667</v>
      </c>
      <c r="G66" s="13"/>
      <c r="H66" s="15">
        <v>1655</v>
      </c>
      <c r="I66" s="17" t="s">
        <v>664</v>
      </c>
      <c r="J66" s="19">
        <f>IF(H66&gt;0,(H66*VLOOKUP(Lookups!$K$11,Lookups!$M$10:$P$40,4,0)/VLOOKUP(I66,Lookups!$M$10:$P$40,4,0)),"")</f>
        <v>1802.765059915208</v>
      </c>
      <c r="K66" s="15"/>
      <c r="L66" s="17"/>
      <c r="M66" s="19" t="str">
        <f>IF(K66&gt;0,(K66*VLOOKUP(Lookups!$K$11,Lookups!$M$10:$P$40,4,0)/VLOOKUP(L66,Lookups!$M$10:$P$40,4,0)),"")</f>
        <v/>
      </c>
      <c r="N66" s="15"/>
      <c r="O66" s="17"/>
      <c r="P66" s="19" t="str">
        <f>IF(N66&gt;0,(N66*VLOOKUP(Lookups!$K$11,Lookups!$M$10:$P$40,4,0)/VLOOKUP(O66,Lookups!$M$10:$P$40,4,0)),"")</f>
        <v/>
      </c>
      <c r="Q66" s="13" t="s">
        <v>2503</v>
      </c>
      <c r="R66" s="38" t="s">
        <v>621</v>
      </c>
      <c r="S66" s="13"/>
      <c r="T66" s="13"/>
      <c r="U66" s="120" t="s">
        <v>2506</v>
      </c>
      <c r="V66"/>
      <c r="W66"/>
      <c r="X66"/>
    </row>
    <row r="67" spans="1:24" s="40" customFormat="1" ht="60" hidden="1" customHeight="1" outlineLevel="2" x14ac:dyDescent="0.2">
      <c r="A67" s="37" t="s">
        <v>645</v>
      </c>
      <c r="B67" s="37" t="s">
        <v>691</v>
      </c>
      <c r="C67" s="37" t="s">
        <v>2090</v>
      </c>
      <c r="D67" s="45" t="s">
        <v>2017</v>
      </c>
      <c r="E67" s="13" t="s">
        <v>637</v>
      </c>
      <c r="F67" s="13" t="s">
        <v>737</v>
      </c>
      <c r="G67" s="13" t="s">
        <v>1418</v>
      </c>
      <c r="H67" s="15">
        <v>9596</v>
      </c>
      <c r="I67" s="17" t="s">
        <v>664</v>
      </c>
      <c r="J67" s="19">
        <f>IF(H67&gt;0,(H67*VLOOKUP(Lookups!$K$11,Lookups!$M$10:$P$40,4,0)/VLOOKUP(I67,Lookups!$M$10:$P$40,4,0)),"")</f>
        <v>10452.769495435852</v>
      </c>
      <c r="K67" s="15"/>
      <c r="L67" s="17"/>
      <c r="M67" s="19" t="str">
        <f>IF(K67&gt;0,(K67*VLOOKUP(Lookups!$K$11,Lookups!$M$10:$P$40,4,0)/VLOOKUP(L67,Lookups!$M$10:$P$40,4,0)),"")</f>
        <v/>
      </c>
      <c r="N67" s="15"/>
      <c r="O67" s="17"/>
      <c r="P67" s="19" t="str">
        <f>IF(N67&gt;0,(N67*VLOOKUP(Lookups!$K$11,Lookups!$M$10:$P$40,4,0)/VLOOKUP(O67,Lookups!$M$10:$P$40,4,0)),"")</f>
        <v/>
      </c>
      <c r="Q67" s="13" t="s">
        <v>2503</v>
      </c>
      <c r="R67" s="38" t="s">
        <v>621</v>
      </c>
      <c r="S67" s="13"/>
      <c r="T67" s="13"/>
      <c r="U67" s="120" t="s">
        <v>2506</v>
      </c>
      <c r="V67"/>
      <c r="W67"/>
      <c r="X67"/>
    </row>
    <row r="68" spans="1:24" s="40" customFormat="1" ht="60" hidden="1" customHeight="1" outlineLevel="2" x14ac:dyDescent="0.2">
      <c r="A68" s="37" t="s">
        <v>645</v>
      </c>
      <c r="B68" s="37" t="s">
        <v>691</v>
      </c>
      <c r="C68" s="37" t="s">
        <v>2091</v>
      </c>
      <c r="D68" s="45" t="s">
        <v>1836</v>
      </c>
      <c r="E68" s="13" t="s">
        <v>637</v>
      </c>
      <c r="F68" s="13" t="s">
        <v>674</v>
      </c>
      <c r="G68" s="13"/>
      <c r="H68" s="15">
        <v>135662</v>
      </c>
      <c r="I68" s="17" t="s">
        <v>664</v>
      </c>
      <c r="J68" s="19">
        <f>IF(H68&gt;0,(H68*VLOOKUP(Lookups!$K$11,Lookups!$M$10:$P$40,4,0)/VLOOKUP(I68,Lookups!$M$10:$P$40,4,0)),"")</f>
        <v>147774.44927988938</v>
      </c>
      <c r="K68" s="15"/>
      <c r="L68" s="17"/>
      <c r="M68" s="19" t="str">
        <f>IF(K68&gt;0,(K68*VLOOKUP(Lookups!$K$11,Lookups!$M$10:$P$40,4,0)/VLOOKUP(L68,Lookups!$M$10:$P$40,4,0)),"")</f>
        <v/>
      </c>
      <c r="N68" s="15"/>
      <c r="O68" s="17"/>
      <c r="P68" s="19" t="str">
        <f>IF(N68&gt;0,(N68*VLOOKUP(Lookups!$K$11,Lookups!$M$10:$P$40,4,0)/VLOOKUP(O68,Lookups!$M$10:$P$40,4,0)),"")</f>
        <v/>
      </c>
      <c r="Q68" s="13" t="s">
        <v>2503</v>
      </c>
      <c r="R68" s="38" t="s">
        <v>621</v>
      </c>
      <c r="S68" s="13"/>
      <c r="T68" s="13"/>
      <c r="U68" s="120" t="s">
        <v>2506</v>
      </c>
      <c r="V68"/>
      <c r="W68"/>
      <c r="X68"/>
    </row>
    <row r="69" spans="1:24" s="40" customFormat="1" ht="60" hidden="1" customHeight="1" outlineLevel="2" x14ac:dyDescent="0.2">
      <c r="A69" s="37" t="s">
        <v>645</v>
      </c>
      <c r="B69" s="37" t="s">
        <v>691</v>
      </c>
      <c r="C69" s="37" t="s">
        <v>2092</v>
      </c>
      <c r="D69" s="45" t="s">
        <v>1707</v>
      </c>
      <c r="E69" s="13" t="s">
        <v>637</v>
      </c>
      <c r="F69" s="13" t="s">
        <v>712</v>
      </c>
      <c r="G69" s="13"/>
      <c r="H69" s="15">
        <v>8866</v>
      </c>
      <c r="I69" s="17" t="s">
        <v>664</v>
      </c>
      <c r="J69" s="19">
        <f>IF(H69&gt;0,(H69*VLOOKUP(Lookups!$K$11,Lookups!$M$10:$P$40,4,0)/VLOOKUP(I69,Lookups!$M$10:$P$40,4,0)),"")</f>
        <v>9657.5921578297493</v>
      </c>
      <c r="K69" s="15"/>
      <c r="L69" s="17"/>
      <c r="M69" s="19" t="str">
        <f>IF(K69&gt;0,(K69*VLOOKUP(Lookups!$K$11,Lookups!$M$10:$P$40,4,0)/VLOOKUP(L69,Lookups!$M$10:$P$40,4,0)),"")</f>
        <v/>
      </c>
      <c r="N69" s="15"/>
      <c r="O69" s="17"/>
      <c r="P69" s="19" t="str">
        <f>IF(N69&gt;0,(N69*VLOOKUP(Lookups!$K$11,Lookups!$M$10:$P$40,4,0)/VLOOKUP(O69,Lookups!$M$10:$P$40,4,0)),"")</f>
        <v/>
      </c>
      <c r="Q69" s="13" t="s">
        <v>2503</v>
      </c>
      <c r="R69" s="38" t="s">
        <v>621</v>
      </c>
      <c r="S69" s="13"/>
      <c r="T69" s="13"/>
      <c r="U69" s="120" t="s">
        <v>2506</v>
      </c>
      <c r="V69"/>
      <c r="W69"/>
      <c r="X69"/>
    </row>
    <row r="70" spans="1:24" s="40" customFormat="1" ht="60" hidden="1" customHeight="1" outlineLevel="2" x14ac:dyDescent="0.2">
      <c r="A70" s="37" t="s">
        <v>645</v>
      </c>
      <c r="B70" s="37" t="s">
        <v>691</v>
      </c>
      <c r="C70" s="37" t="s">
        <v>2093</v>
      </c>
      <c r="D70" s="45" t="s">
        <v>1998</v>
      </c>
      <c r="E70" s="13" t="s">
        <v>637</v>
      </c>
      <c r="F70" s="13" t="s">
        <v>629</v>
      </c>
      <c r="G70" s="13"/>
      <c r="H70" s="15">
        <v>913</v>
      </c>
      <c r="I70" s="17" t="s">
        <v>664</v>
      </c>
      <c r="J70" s="19">
        <f>IF(H70&gt;0,(H70*VLOOKUP(Lookups!$K$11,Lookups!$M$10:$P$40,4,0)/VLOOKUP(I70,Lookups!$M$10:$P$40,4,0)),"")</f>
        <v>994.51631401968871</v>
      </c>
      <c r="K70" s="15"/>
      <c r="L70" s="17"/>
      <c r="M70" s="19" t="str">
        <f>IF(K70&gt;0,(K70*VLOOKUP(Lookups!$K$11,Lookups!$M$10:$P$40,4,0)/VLOOKUP(L70,Lookups!$M$10:$P$40,4,0)),"")</f>
        <v/>
      </c>
      <c r="N70" s="15"/>
      <c r="O70" s="17"/>
      <c r="P70" s="19" t="str">
        <f>IF(N70&gt;0,(N70*VLOOKUP(Lookups!$K$11,Lookups!$M$10:$P$40,4,0)/VLOOKUP(O70,Lookups!$M$10:$P$40,4,0)),"")</f>
        <v/>
      </c>
      <c r="Q70" s="13" t="s">
        <v>2503</v>
      </c>
      <c r="R70" s="38" t="s">
        <v>621</v>
      </c>
      <c r="S70" s="13"/>
      <c r="T70" s="13"/>
      <c r="U70" s="120" t="s">
        <v>2506</v>
      </c>
      <c r="V70"/>
      <c r="W70"/>
      <c r="X70"/>
    </row>
    <row r="71" spans="1:24" s="40" customFormat="1" ht="60" hidden="1" customHeight="1" outlineLevel="1" x14ac:dyDescent="0.2">
      <c r="A71" s="46" t="s">
        <v>645</v>
      </c>
      <c r="B71" s="46" t="s">
        <v>691</v>
      </c>
      <c r="C71" s="46" t="s">
        <v>2094</v>
      </c>
      <c r="D71" s="46" t="s">
        <v>2041</v>
      </c>
      <c r="E71" s="13" t="s">
        <v>637</v>
      </c>
      <c r="F71" s="13" t="s">
        <v>712</v>
      </c>
      <c r="G71" s="13"/>
      <c r="H71" s="15">
        <v>18608</v>
      </c>
      <c r="I71" s="17" t="s">
        <v>664</v>
      </c>
      <c r="J71" s="19">
        <f>IF(H71&gt;0,(H71*VLOOKUP(Lookups!$K$11,Lookups!$M$10:$P$40,4,0)/VLOOKUP(I71,Lookups!$M$10:$P$40,4,0)),"")</f>
        <v>20269.39712078682</v>
      </c>
      <c r="K71" s="15">
        <v>1384</v>
      </c>
      <c r="L71" s="17" t="s">
        <v>664</v>
      </c>
      <c r="M71" s="19">
        <f>IF(K71&gt;0,(K71*VLOOKUP(Lookups!$K$11,Lookups!$M$10:$P$40,4,0)/VLOOKUP(L71,Lookups!$M$10:$P$40,4,0)),"")</f>
        <v>1507.5690893792437</v>
      </c>
      <c r="N71" s="15">
        <v>5661</v>
      </c>
      <c r="O71" s="17" t="s">
        <v>664</v>
      </c>
      <c r="P71" s="19">
        <f>IF(N71&gt;0,(N71*VLOOKUP(Lookups!$K$11,Lookups!$M$10:$P$40,4,0)/VLOOKUP(O71,Lookups!$M$10:$P$40,4,0)),"")</f>
        <v>6166.4368605317177</v>
      </c>
      <c r="Q71" s="13" t="s">
        <v>2503</v>
      </c>
      <c r="R71" s="38" t="s">
        <v>621</v>
      </c>
      <c r="S71" s="13" t="s">
        <v>266</v>
      </c>
      <c r="T71" s="13" t="s">
        <v>1912</v>
      </c>
      <c r="U71" s="13" t="s">
        <v>2504</v>
      </c>
      <c r="V71"/>
      <c r="W71"/>
      <c r="X71"/>
    </row>
    <row r="72" spans="1:24" s="40" customFormat="1" ht="60" hidden="1" customHeight="1" outlineLevel="2" x14ac:dyDescent="0.2">
      <c r="A72" s="37" t="s">
        <v>645</v>
      </c>
      <c r="B72" s="37" t="s">
        <v>691</v>
      </c>
      <c r="C72" s="37" t="s">
        <v>2095</v>
      </c>
      <c r="D72" s="45" t="s">
        <v>1999</v>
      </c>
      <c r="E72" s="13" t="s">
        <v>637</v>
      </c>
      <c r="F72" s="13" t="s">
        <v>1348</v>
      </c>
      <c r="G72" s="13" t="s">
        <v>685</v>
      </c>
      <c r="H72" s="15">
        <v>7013</v>
      </c>
      <c r="I72" s="17" t="s">
        <v>664</v>
      </c>
      <c r="J72" s="19">
        <f>IF(H72&gt;0,(H72*VLOOKUP(Lookups!$K$11,Lookups!$M$10:$P$40,4,0)/VLOOKUP(I72,Lookups!$M$10:$P$40,4,0)),"")</f>
        <v>7639.148861139186</v>
      </c>
      <c r="K72" s="15"/>
      <c r="L72" s="17"/>
      <c r="M72" s="19" t="str">
        <f>IF(K72&gt;0,(K72*VLOOKUP(Lookups!$K$11,Lookups!$M$10:$P$40,4,0)/VLOOKUP(L72,Lookups!$M$10:$P$40,4,0)),"")</f>
        <v/>
      </c>
      <c r="N72" s="15"/>
      <c r="O72" s="17"/>
      <c r="P72" s="19" t="str">
        <f>IF(N72&gt;0,(N72*VLOOKUP(Lookups!$K$11,Lookups!$M$10:$P$40,4,0)/VLOOKUP(O72,Lookups!$M$10:$P$40,4,0)),"")</f>
        <v/>
      </c>
      <c r="Q72" s="13" t="s">
        <v>2503</v>
      </c>
      <c r="R72" s="38" t="s">
        <v>621</v>
      </c>
      <c r="S72" s="13"/>
      <c r="T72" s="13"/>
      <c r="U72" s="120" t="s">
        <v>2506</v>
      </c>
      <c r="V72"/>
      <c r="W72"/>
      <c r="X72"/>
    </row>
    <row r="73" spans="1:24" s="40" customFormat="1" ht="60" hidden="1" customHeight="1" outlineLevel="2" x14ac:dyDescent="0.2">
      <c r="A73" s="37" t="s">
        <v>645</v>
      </c>
      <c r="B73" s="37" t="s">
        <v>691</v>
      </c>
      <c r="C73" s="37" t="s">
        <v>2096</v>
      </c>
      <c r="D73" s="45" t="s">
        <v>2020</v>
      </c>
      <c r="E73" s="13" t="s">
        <v>637</v>
      </c>
      <c r="F73" s="13" t="s">
        <v>667</v>
      </c>
      <c r="G73" s="13"/>
      <c r="H73" s="15">
        <v>414</v>
      </c>
      <c r="I73" s="17" t="s">
        <v>664</v>
      </c>
      <c r="J73" s="19">
        <f>IF(H73&gt;0,(H73*VLOOKUP(Lookups!$K$11,Lookups!$M$10:$P$40,4,0)/VLOOKUP(I73,Lookups!$M$10:$P$40,4,0)),"")</f>
        <v>450.96358598483147</v>
      </c>
      <c r="K73" s="15"/>
      <c r="L73" s="17"/>
      <c r="M73" s="19" t="str">
        <f>IF(K73&gt;0,(K73*VLOOKUP(Lookups!$K$11,Lookups!$M$10:$P$40,4,0)/VLOOKUP(L73,Lookups!$M$10:$P$40,4,0)),"")</f>
        <v/>
      </c>
      <c r="N73" s="15"/>
      <c r="O73" s="17"/>
      <c r="P73" s="19" t="str">
        <f>IF(N73&gt;0,(N73*VLOOKUP(Lookups!$K$11,Lookups!$M$10:$P$40,4,0)/VLOOKUP(O73,Lookups!$M$10:$P$40,4,0)),"")</f>
        <v/>
      </c>
      <c r="Q73" s="13" t="s">
        <v>2503</v>
      </c>
      <c r="R73" s="38" t="s">
        <v>621</v>
      </c>
      <c r="S73" s="13"/>
      <c r="T73" s="13"/>
      <c r="U73" s="120" t="s">
        <v>2506</v>
      </c>
      <c r="V73"/>
      <c r="W73"/>
      <c r="X73"/>
    </row>
    <row r="74" spans="1:24" s="40" customFormat="1" ht="60" hidden="1" customHeight="1" outlineLevel="2" x14ac:dyDescent="0.2">
      <c r="A74" s="37" t="s">
        <v>645</v>
      </c>
      <c r="B74" s="37" t="s">
        <v>691</v>
      </c>
      <c r="C74" s="37" t="s">
        <v>2097</v>
      </c>
      <c r="D74" s="45" t="s">
        <v>2018</v>
      </c>
      <c r="E74" s="13" t="s">
        <v>637</v>
      </c>
      <c r="F74" s="13" t="s">
        <v>737</v>
      </c>
      <c r="G74" s="13" t="s">
        <v>1418</v>
      </c>
      <c r="H74" s="15">
        <v>3808</v>
      </c>
      <c r="I74" s="17" t="s">
        <v>664</v>
      </c>
      <c r="J74" s="19">
        <f>IF(H74&gt;0,(H74*VLOOKUP(Lookups!$K$11,Lookups!$M$10:$P$40,4,0)/VLOOKUP(I74,Lookups!$M$10:$P$40,4,0)),"")</f>
        <v>4147.9935638411553</v>
      </c>
      <c r="K74" s="15"/>
      <c r="L74" s="17"/>
      <c r="M74" s="19" t="str">
        <f>IF(K74&gt;0,(K74*VLOOKUP(Lookups!$K$11,Lookups!$M$10:$P$40,4,0)/VLOOKUP(L74,Lookups!$M$10:$P$40,4,0)),"")</f>
        <v/>
      </c>
      <c r="N74" s="15"/>
      <c r="O74" s="17"/>
      <c r="P74" s="19" t="str">
        <f>IF(N74&gt;0,(N74*VLOOKUP(Lookups!$K$11,Lookups!$M$10:$P$40,4,0)/VLOOKUP(O74,Lookups!$M$10:$P$40,4,0)),"")</f>
        <v/>
      </c>
      <c r="Q74" s="13" t="s">
        <v>2503</v>
      </c>
      <c r="R74" s="38" t="s">
        <v>621</v>
      </c>
      <c r="S74" s="13"/>
      <c r="T74" s="13"/>
      <c r="U74" s="120" t="s">
        <v>2506</v>
      </c>
      <c r="V74"/>
      <c r="W74"/>
      <c r="X74"/>
    </row>
    <row r="75" spans="1:24" s="40" customFormat="1" ht="60" hidden="1" customHeight="1" outlineLevel="2" x14ac:dyDescent="0.2">
      <c r="A75" s="37" t="s">
        <v>645</v>
      </c>
      <c r="B75" s="37" t="s">
        <v>691</v>
      </c>
      <c r="C75" s="37" t="s">
        <v>2098</v>
      </c>
      <c r="D75" s="45" t="s">
        <v>2000</v>
      </c>
      <c r="E75" s="13" t="s">
        <v>637</v>
      </c>
      <c r="F75" s="13" t="s">
        <v>674</v>
      </c>
      <c r="G75" s="13"/>
      <c r="H75" s="15">
        <v>3237</v>
      </c>
      <c r="I75" s="17" t="s">
        <v>664</v>
      </c>
      <c r="J75" s="19">
        <f>IF(H75&gt;0,(H75*VLOOKUP(Lookups!$K$11,Lookups!$M$10:$P$40,4,0)/VLOOKUP(I75,Lookups!$M$10:$P$40,4,0)),"")</f>
        <v>3526.0123860698059</v>
      </c>
      <c r="K75" s="15"/>
      <c r="L75" s="17"/>
      <c r="M75" s="19" t="str">
        <f>IF(K75&gt;0,(K75*VLOOKUP(Lookups!$K$11,Lookups!$M$10:$P$40,4,0)/VLOOKUP(L75,Lookups!$M$10:$P$40,4,0)),"")</f>
        <v/>
      </c>
      <c r="N75" s="15"/>
      <c r="O75" s="17"/>
      <c r="P75" s="19" t="str">
        <f>IF(N75&gt;0,(N75*VLOOKUP(Lookups!$K$11,Lookups!$M$10:$P$40,4,0)/VLOOKUP(O75,Lookups!$M$10:$P$40,4,0)),"")</f>
        <v/>
      </c>
      <c r="Q75" s="13" t="s">
        <v>2503</v>
      </c>
      <c r="R75" s="38" t="s">
        <v>621</v>
      </c>
      <c r="S75" s="13"/>
      <c r="T75" s="13"/>
      <c r="U75" s="120" t="s">
        <v>2506</v>
      </c>
      <c r="V75"/>
      <c r="W75"/>
      <c r="X75"/>
    </row>
    <row r="76" spans="1:24" s="40" customFormat="1" ht="60" hidden="1" customHeight="1" outlineLevel="2" x14ac:dyDescent="0.2">
      <c r="A76" s="37" t="s">
        <v>645</v>
      </c>
      <c r="B76" s="37" t="s">
        <v>691</v>
      </c>
      <c r="C76" s="37" t="s">
        <v>2099</v>
      </c>
      <c r="D76" s="45" t="s">
        <v>1708</v>
      </c>
      <c r="E76" s="13" t="s">
        <v>637</v>
      </c>
      <c r="F76" s="13" t="s">
        <v>712</v>
      </c>
      <c r="G76" s="13"/>
      <c r="H76" s="15">
        <v>2539</v>
      </c>
      <c r="I76" s="17" t="s">
        <v>664</v>
      </c>
      <c r="J76" s="19">
        <f>IF(H76&gt;0,(H76*VLOOKUP(Lookups!$K$11,Lookups!$M$10:$P$40,4,0)/VLOOKUP(I76,Lookups!$M$10:$P$40,4,0)),"")</f>
        <v>2765.6921372354764</v>
      </c>
      <c r="K76" s="15"/>
      <c r="L76" s="17"/>
      <c r="M76" s="19" t="str">
        <f>IF(K76&gt;0,(K76*VLOOKUP(Lookups!$K$11,Lookups!$M$10:$P$40,4,0)/VLOOKUP(L76,Lookups!$M$10:$P$40,4,0)),"")</f>
        <v/>
      </c>
      <c r="N76" s="15"/>
      <c r="O76" s="17"/>
      <c r="P76" s="19" t="str">
        <f>IF(N76&gt;0,(N76*VLOOKUP(Lookups!$K$11,Lookups!$M$10:$P$40,4,0)/VLOOKUP(O76,Lookups!$M$10:$P$40,4,0)),"")</f>
        <v/>
      </c>
      <c r="Q76" s="13" t="s">
        <v>2503</v>
      </c>
      <c r="R76" s="38" t="s">
        <v>621</v>
      </c>
      <c r="S76" s="13"/>
      <c r="T76" s="13"/>
      <c r="U76" s="120" t="s">
        <v>2506</v>
      </c>
      <c r="V76"/>
      <c r="W76"/>
      <c r="X76"/>
    </row>
    <row r="77" spans="1:24" s="40" customFormat="1" ht="60" hidden="1" customHeight="1" outlineLevel="2" x14ac:dyDescent="0.2">
      <c r="A77" s="37" t="s">
        <v>645</v>
      </c>
      <c r="B77" s="37" t="s">
        <v>691</v>
      </c>
      <c r="C77" s="37" t="s">
        <v>2100</v>
      </c>
      <c r="D77" s="45" t="s">
        <v>1851</v>
      </c>
      <c r="E77" s="13" t="s">
        <v>637</v>
      </c>
      <c r="F77" s="13" t="s">
        <v>629</v>
      </c>
      <c r="G77" s="13"/>
      <c r="H77" s="15">
        <v>1598</v>
      </c>
      <c r="I77" s="17" t="s">
        <v>664</v>
      </c>
      <c r="J77" s="19">
        <f>IF(H77&gt;0,(H77*VLOOKUP(Lookups!$K$11,Lookups!$M$10:$P$40,4,0)/VLOOKUP(I77,Lookups!$M$10:$P$40,4,0)),"")</f>
        <v>1740.6758705404848</v>
      </c>
      <c r="K77" s="15"/>
      <c r="L77" s="17"/>
      <c r="M77" s="19" t="str">
        <f>IF(K77&gt;0,(K77*VLOOKUP(Lookups!$K$11,Lookups!$M$10:$P$40,4,0)/VLOOKUP(L77,Lookups!$M$10:$P$40,4,0)),"")</f>
        <v/>
      </c>
      <c r="N77" s="15"/>
      <c r="O77" s="17"/>
      <c r="P77" s="19" t="str">
        <f>IF(N77&gt;0,(N77*VLOOKUP(Lookups!$K$11,Lookups!$M$10:$P$40,4,0)/VLOOKUP(O77,Lookups!$M$10:$P$40,4,0)),"")</f>
        <v/>
      </c>
      <c r="Q77" s="13" t="s">
        <v>2503</v>
      </c>
      <c r="R77" s="38" t="s">
        <v>621</v>
      </c>
      <c r="S77" s="13"/>
      <c r="T77" s="13"/>
      <c r="U77" s="120" t="s">
        <v>2506</v>
      </c>
      <c r="V77"/>
      <c r="W77"/>
      <c r="X77"/>
    </row>
    <row r="78" spans="1:24" s="40" customFormat="1" ht="60" hidden="1" customHeight="1" outlineLevel="1" x14ac:dyDescent="0.2">
      <c r="A78" s="46" t="s">
        <v>645</v>
      </c>
      <c r="B78" s="46" t="s">
        <v>691</v>
      </c>
      <c r="C78" s="46" t="s">
        <v>2101</v>
      </c>
      <c r="D78" s="46" t="s">
        <v>2042</v>
      </c>
      <c r="E78" s="13" t="s">
        <v>637</v>
      </c>
      <c r="F78" s="13" t="s">
        <v>712</v>
      </c>
      <c r="G78" s="13"/>
      <c r="H78" s="15">
        <v>2765</v>
      </c>
      <c r="I78" s="17" t="s">
        <v>664</v>
      </c>
      <c r="J78" s="19">
        <f>IF(H78&gt;0,(H78*VLOOKUP(Lookups!$K$11,Lookups!$M$10:$P$40,4,0)/VLOOKUP(I78,Lookups!$M$10:$P$40,4,0)),"")</f>
        <v>3011.870326686133</v>
      </c>
      <c r="K78" s="15">
        <v>1384</v>
      </c>
      <c r="L78" s="17" t="s">
        <v>664</v>
      </c>
      <c r="M78" s="19">
        <f>IF(K78&gt;0,(K78*VLOOKUP(Lookups!$K$11,Lookups!$M$10:$P$40,4,0)/VLOOKUP(L78,Lookups!$M$10:$P$40,4,0)),"")</f>
        <v>1507.5690893792437</v>
      </c>
      <c r="N78" s="15">
        <v>5661</v>
      </c>
      <c r="O78" s="17" t="s">
        <v>664</v>
      </c>
      <c r="P78" s="19">
        <f>IF(N78&gt;0,(N78*VLOOKUP(Lookups!$K$11,Lookups!$M$10:$P$40,4,0)/VLOOKUP(O78,Lookups!$M$10:$P$40,4,0)),"")</f>
        <v>6166.4368605317177</v>
      </c>
      <c r="Q78" s="13" t="s">
        <v>2503</v>
      </c>
      <c r="R78" s="38" t="s">
        <v>621</v>
      </c>
      <c r="S78" s="13" t="s">
        <v>267</v>
      </c>
      <c r="T78" s="13" t="s">
        <v>1912</v>
      </c>
      <c r="U78" s="13" t="s">
        <v>2504</v>
      </c>
      <c r="V78"/>
      <c r="W78"/>
      <c r="X78"/>
    </row>
    <row r="79" spans="1:24" s="40" customFormat="1" ht="60" hidden="1" customHeight="1" outlineLevel="2" x14ac:dyDescent="0.2">
      <c r="A79" s="37" t="s">
        <v>645</v>
      </c>
      <c r="B79" s="37" t="s">
        <v>691</v>
      </c>
      <c r="C79" s="37" t="s">
        <v>2102</v>
      </c>
      <c r="D79" s="45" t="s">
        <v>2001</v>
      </c>
      <c r="E79" s="13" t="s">
        <v>637</v>
      </c>
      <c r="F79" s="13" t="s">
        <v>1348</v>
      </c>
      <c r="G79" s="13" t="s">
        <v>685</v>
      </c>
      <c r="H79" s="15">
        <v>488</v>
      </c>
      <c r="I79" s="17" t="s">
        <v>664</v>
      </c>
      <c r="J79" s="19">
        <f>IF(H79&gt;0,(H79*VLOOKUP(Lookups!$K$11,Lookups!$M$10:$P$40,4,0)/VLOOKUP(I79,Lookups!$M$10:$P$40,4,0)),"")</f>
        <v>531.57060376955985</v>
      </c>
      <c r="K79" s="15"/>
      <c r="L79" s="17"/>
      <c r="M79" s="19" t="str">
        <f>IF(K79&gt;0,(K79*VLOOKUP(Lookups!$K$11,Lookups!$M$10:$P$40,4,0)/VLOOKUP(L79,Lookups!$M$10:$P$40,4,0)),"")</f>
        <v/>
      </c>
      <c r="N79" s="15"/>
      <c r="O79" s="17"/>
      <c r="P79" s="19" t="str">
        <f>IF(N79&gt;0,(N79*VLOOKUP(Lookups!$K$11,Lookups!$M$10:$P$40,4,0)/VLOOKUP(O79,Lookups!$M$10:$P$40,4,0)),"")</f>
        <v/>
      </c>
      <c r="Q79" s="13" t="s">
        <v>2503</v>
      </c>
      <c r="R79" s="38" t="s">
        <v>621</v>
      </c>
      <c r="S79" s="13"/>
      <c r="T79" s="13"/>
      <c r="U79" s="120" t="s">
        <v>2506</v>
      </c>
      <c r="V79"/>
      <c r="W79"/>
      <c r="X79"/>
    </row>
    <row r="80" spans="1:24" s="40" customFormat="1" ht="60" hidden="1" customHeight="1" outlineLevel="2" x14ac:dyDescent="0.2">
      <c r="A80" s="37" t="s">
        <v>645</v>
      </c>
      <c r="B80" s="37" t="s">
        <v>691</v>
      </c>
      <c r="C80" s="37" t="s">
        <v>2103</v>
      </c>
      <c r="D80" s="45" t="s">
        <v>2022</v>
      </c>
      <c r="E80" s="13" t="s">
        <v>637</v>
      </c>
      <c r="F80" s="13" t="s">
        <v>667</v>
      </c>
      <c r="G80" s="13"/>
      <c r="H80" s="15">
        <v>70</v>
      </c>
      <c r="I80" s="17" t="s">
        <v>664</v>
      </c>
      <c r="J80" s="19">
        <f>IF(H80&gt;0,(H80*VLOOKUP(Lookups!$K$11,Lookups!$M$10:$P$40,4,0)/VLOOKUP(I80,Lookups!$M$10:$P$40,4,0)),"")</f>
        <v>76.249881688256536</v>
      </c>
      <c r="K80" s="15"/>
      <c r="L80" s="17"/>
      <c r="M80" s="19" t="str">
        <f>IF(K80&gt;0,(K80*VLOOKUP(Lookups!$K$11,Lookups!$M$10:$P$40,4,0)/VLOOKUP(L80,Lookups!$M$10:$P$40,4,0)),"")</f>
        <v/>
      </c>
      <c r="N80" s="15"/>
      <c r="O80" s="17"/>
      <c r="P80" s="19" t="str">
        <f>IF(N80&gt;0,(N80*VLOOKUP(Lookups!$K$11,Lookups!$M$10:$P$40,4,0)/VLOOKUP(O80,Lookups!$M$10:$P$40,4,0)),"")</f>
        <v/>
      </c>
      <c r="Q80" s="13" t="s">
        <v>2503</v>
      </c>
      <c r="R80" s="38" t="s">
        <v>621</v>
      </c>
      <c r="S80" s="13"/>
      <c r="T80" s="13"/>
      <c r="U80" s="120" t="s">
        <v>2506</v>
      </c>
      <c r="V80"/>
      <c r="W80"/>
      <c r="X80"/>
    </row>
    <row r="81" spans="1:24" s="40" customFormat="1" ht="60" hidden="1" customHeight="1" outlineLevel="2" x14ac:dyDescent="0.2">
      <c r="A81" s="37" t="s">
        <v>645</v>
      </c>
      <c r="B81" s="37" t="s">
        <v>691</v>
      </c>
      <c r="C81" s="37" t="s">
        <v>2104</v>
      </c>
      <c r="D81" s="45" t="s">
        <v>2019</v>
      </c>
      <c r="E81" s="13" t="s">
        <v>637</v>
      </c>
      <c r="F81" s="13" t="s">
        <v>737</v>
      </c>
      <c r="G81" s="13" t="s">
        <v>1418</v>
      </c>
      <c r="H81" s="15">
        <v>265</v>
      </c>
      <c r="I81" s="17" t="s">
        <v>664</v>
      </c>
      <c r="J81" s="19">
        <f>IF(H81&gt;0,(H81*VLOOKUP(Lookups!$K$11,Lookups!$M$10:$P$40,4,0)/VLOOKUP(I81,Lookups!$M$10:$P$40,4,0)),"")</f>
        <v>288.66026639125687</v>
      </c>
      <c r="K81" s="15"/>
      <c r="L81" s="17"/>
      <c r="M81" s="19" t="str">
        <f>IF(K81&gt;0,(K81*VLOOKUP(Lookups!$K$11,Lookups!$M$10:$P$40,4,0)/VLOOKUP(L81,Lookups!$M$10:$P$40,4,0)),"")</f>
        <v/>
      </c>
      <c r="N81" s="15"/>
      <c r="O81" s="17"/>
      <c r="P81" s="19" t="str">
        <f>IF(N81&gt;0,(N81*VLOOKUP(Lookups!$K$11,Lookups!$M$10:$P$40,4,0)/VLOOKUP(O81,Lookups!$M$10:$P$40,4,0)),"")</f>
        <v/>
      </c>
      <c r="Q81" s="13" t="s">
        <v>2503</v>
      </c>
      <c r="R81" s="38" t="s">
        <v>621</v>
      </c>
      <c r="S81" s="13"/>
      <c r="T81" s="13"/>
      <c r="U81" s="120" t="s">
        <v>2506</v>
      </c>
      <c r="V81"/>
      <c r="W81"/>
      <c r="X81"/>
    </row>
    <row r="82" spans="1:24" s="40" customFormat="1" ht="60" hidden="1" customHeight="1" outlineLevel="2" x14ac:dyDescent="0.2">
      <c r="A82" s="37" t="s">
        <v>645</v>
      </c>
      <c r="B82" s="37" t="s">
        <v>691</v>
      </c>
      <c r="C82" s="37" t="s">
        <v>2105</v>
      </c>
      <c r="D82" s="45" t="s">
        <v>1837</v>
      </c>
      <c r="E82" s="13" t="s">
        <v>637</v>
      </c>
      <c r="F82" s="13" t="s">
        <v>674</v>
      </c>
      <c r="G82" s="13"/>
      <c r="H82" s="15">
        <v>159</v>
      </c>
      <c r="I82" s="17" t="s">
        <v>664</v>
      </c>
      <c r="J82" s="19">
        <f>IF(H82&gt;0,(H82*VLOOKUP(Lookups!$K$11,Lookups!$M$10:$P$40,4,0)/VLOOKUP(I82,Lookups!$M$10:$P$40,4,0)),"")</f>
        <v>173.19615983475413</v>
      </c>
      <c r="K82" s="15"/>
      <c r="L82" s="17"/>
      <c r="M82" s="19" t="str">
        <f>IF(K82&gt;0,(K82*VLOOKUP(Lookups!$K$11,Lookups!$M$10:$P$40,4,0)/VLOOKUP(L82,Lookups!$M$10:$P$40,4,0)),"")</f>
        <v/>
      </c>
      <c r="N82" s="15"/>
      <c r="O82" s="17"/>
      <c r="P82" s="19" t="str">
        <f>IF(N82&gt;0,(N82*VLOOKUP(Lookups!$K$11,Lookups!$M$10:$P$40,4,0)/VLOOKUP(O82,Lookups!$M$10:$P$40,4,0)),"")</f>
        <v/>
      </c>
      <c r="Q82" s="13" t="s">
        <v>2503</v>
      </c>
      <c r="R82" s="38" t="s">
        <v>621</v>
      </c>
      <c r="S82" s="13"/>
      <c r="T82" s="13"/>
      <c r="U82" s="120" t="s">
        <v>2506</v>
      </c>
      <c r="V82"/>
      <c r="W82"/>
      <c r="X82"/>
    </row>
    <row r="83" spans="1:24" s="40" customFormat="1" ht="60" hidden="1" customHeight="1" outlineLevel="2" x14ac:dyDescent="0.2">
      <c r="A83" s="37" t="s">
        <v>645</v>
      </c>
      <c r="B83" s="37" t="s">
        <v>691</v>
      </c>
      <c r="C83" s="37" t="s">
        <v>2106</v>
      </c>
      <c r="D83" s="45" t="s">
        <v>1709</v>
      </c>
      <c r="E83" s="13" t="s">
        <v>637</v>
      </c>
      <c r="F83" s="13" t="s">
        <v>712</v>
      </c>
      <c r="G83" s="13"/>
      <c r="H83" s="15">
        <v>185</v>
      </c>
      <c r="I83" s="17" t="s">
        <v>664</v>
      </c>
      <c r="J83" s="19">
        <f>IF(H83&gt;0,(H83*VLOOKUP(Lookups!$K$11,Lookups!$M$10:$P$40,4,0)/VLOOKUP(I83,Lookups!$M$10:$P$40,4,0)),"")</f>
        <v>201.51754446182085</v>
      </c>
      <c r="K83" s="15"/>
      <c r="L83" s="17"/>
      <c r="M83" s="19" t="str">
        <f>IF(K83&gt;0,(K83*VLOOKUP(Lookups!$K$11,Lookups!$M$10:$P$40,4,0)/VLOOKUP(L83,Lookups!$M$10:$P$40,4,0)),"")</f>
        <v/>
      </c>
      <c r="N83" s="15"/>
      <c r="O83" s="17"/>
      <c r="P83" s="19" t="str">
        <f>IF(N83&gt;0,(N83*VLOOKUP(Lookups!$K$11,Lookups!$M$10:$P$40,4,0)/VLOOKUP(O83,Lookups!$M$10:$P$40,4,0)),"")</f>
        <v/>
      </c>
      <c r="Q83" s="13" t="s">
        <v>2503</v>
      </c>
      <c r="R83" s="38" t="s">
        <v>621</v>
      </c>
      <c r="S83" s="13"/>
      <c r="T83" s="13"/>
      <c r="U83" s="120" t="s">
        <v>2506</v>
      </c>
      <c r="V83"/>
      <c r="W83"/>
      <c r="X83"/>
    </row>
    <row r="84" spans="1:24" s="40" customFormat="1" ht="60" hidden="1" customHeight="1" outlineLevel="2" x14ac:dyDescent="0.2">
      <c r="A84" s="37" t="s">
        <v>645</v>
      </c>
      <c r="B84" s="37" t="s">
        <v>691</v>
      </c>
      <c r="C84" s="37" t="s">
        <v>2107</v>
      </c>
      <c r="D84" s="45" t="s">
        <v>1852</v>
      </c>
      <c r="E84" s="13" t="s">
        <v>637</v>
      </c>
      <c r="F84" s="13" t="s">
        <v>629</v>
      </c>
      <c r="G84" s="13"/>
      <c r="H84" s="15">
        <v>1598</v>
      </c>
      <c r="I84" s="17" t="s">
        <v>664</v>
      </c>
      <c r="J84" s="19">
        <f>IF(H84&gt;0,(H84*VLOOKUP(Lookups!$K$11,Lookups!$M$10:$P$40,4,0)/VLOOKUP(I84,Lookups!$M$10:$P$40,4,0)),"")</f>
        <v>1740.6758705404848</v>
      </c>
      <c r="K84" s="15"/>
      <c r="L84" s="17"/>
      <c r="M84" s="19" t="str">
        <f>IF(K84&gt;0,(K84*VLOOKUP(Lookups!$K$11,Lookups!$M$10:$P$40,4,0)/VLOOKUP(L84,Lookups!$M$10:$P$40,4,0)),"")</f>
        <v/>
      </c>
      <c r="N84" s="15"/>
      <c r="O84" s="17"/>
      <c r="P84" s="19" t="str">
        <f>IF(N84&gt;0,(N84*VLOOKUP(Lookups!$K$11,Lookups!$M$10:$P$40,4,0)/VLOOKUP(O84,Lookups!$M$10:$P$40,4,0)),"")</f>
        <v/>
      </c>
      <c r="Q84" s="13" t="s">
        <v>2503</v>
      </c>
      <c r="R84" s="38" t="s">
        <v>621</v>
      </c>
      <c r="S84" s="13"/>
      <c r="T84" s="13"/>
      <c r="U84" s="120" t="s">
        <v>2506</v>
      </c>
      <c r="V84"/>
      <c r="W84"/>
      <c r="X84"/>
    </row>
    <row r="85" spans="1:24" s="40" customFormat="1" ht="60" hidden="1" customHeight="1" outlineLevel="1" x14ac:dyDescent="0.2">
      <c r="A85" s="46" t="s">
        <v>645</v>
      </c>
      <c r="B85" s="46" t="s">
        <v>691</v>
      </c>
      <c r="C85" s="46" t="s">
        <v>2108</v>
      </c>
      <c r="D85" s="46" t="s">
        <v>1786</v>
      </c>
      <c r="E85" s="13" t="s">
        <v>637</v>
      </c>
      <c r="F85" s="13" t="s">
        <v>712</v>
      </c>
      <c r="G85" s="13"/>
      <c r="H85" s="15">
        <v>3597</v>
      </c>
      <c r="I85" s="17" t="s">
        <v>664</v>
      </c>
      <c r="J85" s="19">
        <f>IF(H85&gt;0,(H85*VLOOKUP(Lookups!$K$11,Lookups!$M$10:$P$40,4,0)/VLOOKUP(I85,Lookups!$M$10:$P$40,4,0)),"")</f>
        <v>3918.1546347522681</v>
      </c>
      <c r="K85" s="15">
        <v>5256</v>
      </c>
      <c r="L85" s="17" t="s">
        <v>664</v>
      </c>
      <c r="M85" s="19">
        <f>IF(K85&gt;0,(K85*VLOOKUP(Lookups!$K$11,Lookups!$M$10:$P$40,4,0)/VLOOKUP(L85,Lookups!$M$10:$P$40,4,0)),"")</f>
        <v>5725.2768307639471</v>
      </c>
      <c r="N85" s="15">
        <v>28284</v>
      </c>
      <c r="O85" s="17" t="s">
        <v>664</v>
      </c>
      <c r="P85" s="19">
        <f>IF(N85&gt;0,(N85*VLOOKUP(Lookups!$K$11,Lookups!$M$10:$P$40,4,0)/VLOOKUP(O85,Lookups!$M$10:$P$40,4,0)),"")</f>
        <v>30809.30933815211</v>
      </c>
      <c r="Q85" s="13" t="s">
        <v>2503</v>
      </c>
      <c r="R85" s="38" t="s">
        <v>621</v>
      </c>
      <c r="S85" s="13" t="s">
        <v>268</v>
      </c>
      <c r="T85" s="13" t="s">
        <v>1912</v>
      </c>
      <c r="U85" s="13" t="s">
        <v>2504</v>
      </c>
      <c r="V85"/>
      <c r="W85"/>
      <c r="X85"/>
    </row>
    <row r="86" spans="1:24" s="40" customFormat="1" ht="60" hidden="1" customHeight="1" outlineLevel="2" x14ac:dyDescent="0.2">
      <c r="A86" s="37" t="s">
        <v>645</v>
      </c>
      <c r="B86" s="37" t="s">
        <v>691</v>
      </c>
      <c r="C86" s="37" t="s">
        <v>2109</v>
      </c>
      <c r="D86" s="45" t="s">
        <v>2002</v>
      </c>
      <c r="E86" s="13" t="s">
        <v>637</v>
      </c>
      <c r="F86" s="13" t="s">
        <v>1348</v>
      </c>
      <c r="G86" s="13"/>
      <c r="H86" s="15">
        <v>1151</v>
      </c>
      <c r="I86" s="17" t="s">
        <v>664</v>
      </c>
      <c r="J86" s="19">
        <f>IF(H86&gt;0,(H86*VLOOKUP(Lookups!$K$11,Lookups!$M$10:$P$40,4,0)/VLOOKUP(I86,Lookups!$M$10:$P$40,4,0)),"")</f>
        <v>1253.7659117597609</v>
      </c>
      <c r="K86" s="15"/>
      <c r="L86" s="17"/>
      <c r="M86" s="19" t="str">
        <f>IF(K86&gt;0,(K86*VLOOKUP(Lookups!$K$11,Lookups!$M$10:$P$40,4,0)/VLOOKUP(L86,Lookups!$M$10:$P$40,4,0)),"")</f>
        <v/>
      </c>
      <c r="N86" s="15"/>
      <c r="O86" s="17"/>
      <c r="P86" s="19" t="str">
        <f>IF(N86&gt;0,(N86*VLOOKUP(Lookups!$K$11,Lookups!$M$10:$P$40,4,0)/VLOOKUP(O86,Lookups!$M$10:$P$40,4,0)),"")</f>
        <v/>
      </c>
      <c r="Q86" s="13" t="s">
        <v>2503</v>
      </c>
      <c r="R86" s="38" t="s">
        <v>621</v>
      </c>
      <c r="S86" s="13"/>
      <c r="T86" s="13"/>
      <c r="U86" s="120" t="s">
        <v>2506</v>
      </c>
      <c r="V86"/>
      <c r="W86"/>
      <c r="X86"/>
    </row>
    <row r="87" spans="1:24" s="40" customFormat="1" ht="60" hidden="1" customHeight="1" outlineLevel="2" x14ac:dyDescent="0.2">
      <c r="A87" s="37" t="s">
        <v>645</v>
      </c>
      <c r="B87" s="37" t="s">
        <v>691</v>
      </c>
      <c r="C87" s="37" t="s">
        <v>2110</v>
      </c>
      <c r="D87" s="45" t="s">
        <v>2023</v>
      </c>
      <c r="E87" s="13" t="s">
        <v>637</v>
      </c>
      <c r="F87" s="13" t="s">
        <v>667</v>
      </c>
      <c r="G87" s="13"/>
      <c r="H87" s="15">
        <v>39</v>
      </c>
      <c r="I87" s="17" t="s">
        <v>664</v>
      </c>
      <c r="J87" s="19">
        <f>IF(H87&gt;0,(H87*VLOOKUP(Lookups!$K$11,Lookups!$M$10:$P$40,4,0)/VLOOKUP(I87,Lookups!$M$10:$P$40,4,0)),"")</f>
        <v>42.482076940600066</v>
      </c>
      <c r="K87" s="15"/>
      <c r="L87" s="17"/>
      <c r="M87" s="19" t="str">
        <f>IF(K87&gt;0,(K87*VLOOKUP(Lookups!$K$11,Lookups!$M$10:$P$40,4,0)/VLOOKUP(L87,Lookups!$M$10:$P$40,4,0)),"")</f>
        <v/>
      </c>
      <c r="N87" s="15"/>
      <c r="O87" s="17"/>
      <c r="P87" s="19" t="str">
        <f>IF(N87&gt;0,(N87*VLOOKUP(Lookups!$K$11,Lookups!$M$10:$P$40,4,0)/VLOOKUP(O87,Lookups!$M$10:$P$40,4,0)),"")</f>
        <v/>
      </c>
      <c r="Q87" s="13" t="s">
        <v>2503</v>
      </c>
      <c r="R87" s="38" t="s">
        <v>621</v>
      </c>
      <c r="S87" s="13"/>
      <c r="T87" s="13"/>
      <c r="U87" s="120" t="s">
        <v>2506</v>
      </c>
      <c r="V87"/>
      <c r="W87"/>
      <c r="X87"/>
    </row>
    <row r="88" spans="1:24" s="40" customFormat="1" ht="60" hidden="1" customHeight="1" outlineLevel="2" x14ac:dyDescent="0.2">
      <c r="A88" s="37" t="s">
        <v>645</v>
      </c>
      <c r="B88" s="37" t="s">
        <v>691</v>
      </c>
      <c r="C88" s="37" t="s">
        <v>2111</v>
      </c>
      <c r="D88" s="45" t="s">
        <v>1821</v>
      </c>
      <c r="E88" s="13" t="s">
        <v>637</v>
      </c>
      <c r="F88" s="13" t="s">
        <v>737</v>
      </c>
      <c r="G88" s="13" t="s">
        <v>1418</v>
      </c>
      <c r="H88" s="15">
        <v>535</v>
      </c>
      <c r="I88" s="17" t="s">
        <v>664</v>
      </c>
      <c r="J88" s="19">
        <f>IF(H88&gt;0,(H88*VLOOKUP(Lookups!$K$11,Lookups!$M$10:$P$40,4,0)/VLOOKUP(I88,Lookups!$M$10:$P$40,4,0)),"")</f>
        <v>582.76695290310352</v>
      </c>
      <c r="K88" s="15"/>
      <c r="L88" s="17"/>
      <c r="M88" s="19" t="str">
        <f>IF(K88&gt;0,(K88*VLOOKUP(Lookups!$K$11,Lookups!$M$10:$P$40,4,0)/VLOOKUP(L88,Lookups!$M$10:$P$40,4,0)),"")</f>
        <v/>
      </c>
      <c r="N88" s="15"/>
      <c r="O88" s="17"/>
      <c r="P88" s="19" t="str">
        <f>IF(N88&gt;0,(N88*VLOOKUP(Lookups!$K$11,Lookups!$M$10:$P$40,4,0)/VLOOKUP(O88,Lookups!$M$10:$P$40,4,0)),"")</f>
        <v/>
      </c>
      <c r="Q88" s="13" t="s">
        <v>2503</v>
      </c>
      <c r="R88" s="38" t="s">
        <v>621</v>
      </c>
      <c r="S88" s="13"/>
      <c r="T88" s="13"/>
      <c r="U88" s="120" t="s">
        <v>2506</v>
      </c>
      <c r="V88"/>
      <c r="W88"/>
      <c r="X88"/>
    </row>
    <row r="89" spans="1:24" s="40" customFormat="1" ht="60" hidden="1" customHeight="1" outlineLevel="2" x14ac:dyDescent="0.2">
      <c r="A89" s="37" t="s">
        <v>645</v>
      </c>
      <c r="B89" s="37" t="s">
        <v>691</v>
      </c>
      <c r="C89" s="37" t="s">
        <v>2112</v>
      </c>
      <c r="D89" s="45" t="s">
        <v>1838</v>
      </c>
      <c r="E89" s="13" t="s">
        <v>637</v>
      </c>
      <c r="F89" s="13" t="s">
        <v>674</v>
      </c>
      <c r="G89" s="13"/>
      <c r="H89" s="15">
        <v>543</v>
      </c>
      <c r="I89" s="17" t="s">
        <v>664</v>
      </c>
      <c r="J89" s="19">
        <f>IF(H89&gt;0,(H89*VLOOKUP(Lookups!$K$11,Lookups!$M$10:$P$40,4,0)/VLOOKUP(I89,Lookups!$M$10:$P$40,4,0)),"")</f>
        <v>591.48122509604707</v>
      </c>
      <c r="K89" s="15"/>
      <c r="L89" s="17"/>
      <c r="M89" s="19" t="str">
        <f>IF(K89&gt;0,(K89*VLOOKUP(Lookups!$K$11,Lookups!$M$10:$P$40,4,0)/VLOOKUP(L89,Lookups!$M$10:$P$40,4,0)),"")</f>
        <v/>
      </c>
      <c r="N89" s="15"/>
      <c r="O89" s="17"/>
      <c r="P89" s="19" t="str">
        <f>IF(N89&gt;0,(N89*VLOOKUP(Lookups!$K$11,Lookups!$M$10:$P$40,4,0)/VLOOKUP(O89,Lookups!$M$10:$P$40,4,0)),"")</f>
        <v/>
      </c>
      <c r="Q89" s="13" t="s">
        <v>2503</v>
      </c>
      <c r="R89" s="38" t="s">
        <v>621</v>
      </c>
      <c r="S89" s="13"/>
      <c r="T89" s="13"/>
      <c r="U89" s="120" t="s">
        <v>2506</v>
      </c>
      <c r="V89"/>
      <c r="W89"/>
      <c r="X89"/>
    </row>
    <row r="90" spans="1:24" s="40" customFormat="1" ht="60" hidden="1" customHeight="1" outlineLevel="2" x14ac:dyDescent="0.2">
      <c r="A90" s="37" t="s">
        <v>645</v>
      </c>
      <c r="B90" s="37" t="s">
        <v>691</v>
      </c>
      <c r="C90" s="37" t="s">
        <v>2113</v>
      </c>
      <c r="D90" s="45" t="s">
        <v>1710</v>
      </c>
      <c r="E90" s="13" t="s">
        <v>637</v>
      </c>
      <c r="F90" s="13" t="s">
        <v>712</v>
      </c>
      <c r="G90" s="13"/>
      <c r="H90" s="15">
        <v>244</v>
      </c>
      <c r="I90" s="17" t="s">
        <v>664</v>
      </c>
      <c r="J90" s="19">
        <f>IF(H90&gt;0,(H90*VLOOKUP(Lookups!$K$11,Lookups!$M$10:$P$40,4,0)/VLOOKUP(I90,Lookups!$M$10:$P$40,4,0)),"")</f>
        <v>265.78530188477993</v>
      </c>
      <c r="K90" s="15"/>
      <c r="L90" s="17"/>
      <c r="M90" s="19" t="str">
        <f>IF(K90&gt;0,(K90*VLOOKUP(Lookups!$K$11,Lookups!$M$10:$P$40,4,0)/VLOOKUP(L90,Lookups!$M$10:$P$40,4,0)),"")</f>
        <v/>
      </c>
      <c r="N90" s="15"/>
      <c r="O90" s="17"/>
      <c r="P90" s="19" t="str">
        <f>IF(N90&gt;0,(N90*VLOOKUP(Lookups!$K$11,Lookups!$M$10:$P$40,4,0)/VLOOKUP(O90,Lookups!$M$10:$P$40,4,0)),"")</f>
        <v/>
      </c>
      <c r="Q90" s="13" t="s">
        <v>2503</v>
      </c>
      <c r="R90" s="38" t="s">
        <v>621</v>
      </c>
      <c r="S90" s="13"/>
      <c r="T90" s="13"/>
      <c r="U90" s="120" t="s">
        <v>2506</v>
      </c>
      <c r="V90"/>
      <c r="W90"/>
      <c r="X90"/>
    </row>
    <row r="91" spans="1:24" s="40" customFormat="1" ht="60" hidden="1" customHeight="1" outlineLevel="2" x14ac:dyDescent="0.2">
      <c r="A91" s="37" t="s">
        <v>645</v>
      </c>
      <c r="B91" s="37" t="s">
        <v>691</v>
      </c>
      <c r="C91" s="37" t="s">
        <v>2114</v>
      </c>
      <c r="D91" s="45" t="s">
        <v>1853</v>
      </c>
      <c r="E91" s="13" t="s">
        <v>637</v>
      </c>
      <c r="F91" s="13" t="s">
        <v>629</v>
      </c>
      <c r="G91" s="13"/>
      <c r="H91" s="15">
        <v>1086</v>
      </c>
      <c r="I91" s="17" t="s">
        <v>664</v>
      </c>
      <c r="J91" s="19">
        <f>IF(H91&gt;0,(H91*VLOOKUP(Lookups!$K$11,Lookups!$M$10:$P$40,4,0)/VLOOKUP(I91,Lookups!$M$10:$P$40,4,0)),"")</f>
        <v>1182.9624501920941</v>
      </c>
      <c r="K91" s="15"/>
      <c r="L91" s="17"/>
      <c r="M91" s="19" t="str">
        <f>IF(K91&gt;0,(K91*VLOOKUP(Lookups!$K$11,Lookups!$M$10:$P$40,4,0)/VLOOKUP(L91,Lookups!$M$10:$P$40,4,0)),"")</f>
        <v/>
      </c>
      <c r="N91" s="15"/>
      <c r="O91" s="17"/>
      <c r="P91" s="19" t="str">
        <f>IF(N91&gt;0,(N91*VLOOKUP(Lookups!$K$11,Lookups!$M$10:$P$40,4,0)/VLOOKUP(O91,Lookups!$M$10:$P$40,4,0)),"")</f>
        <v/>
      </c>
      <c r="Q91" s="13" t="s">
        <v>2503</v>
      </c>
      <c r="R91" s="38" t="s">
        <v>621</v>
      </c>
      <c r="S91" s="13"/>
      <c r="T91" s="13"/>
      <c r="U91" s="120" t="s">
        <v>2506</v>
      </c>
      <c r="V91"/>
      <c r="W91"/>
      <c r="X91"/>
    </row>
    <row r="92" spans="1:24" s="40" customFormat="1" ht="60" hidden="1" customHeight="1" outlineLevel="1" x14ac:dyDescent="0.2">
      <c r="A92" s="46" t="s">
        <v>645</v>
      </c>
      <c r="B92" s="46" t="s">
        <v>691</v>
      </c>
      <c r="C92" s="46" t="s">
        <v>2115</v>
      </c>
      <c r="D92" s="46" t="s">
        <v>1787</v>
      </c>
      <c r="E92" s="13" t="s">
        <v>637</v>
      </c>
      <c r="F92" s="13" t="s">
        <v>712</v>
      </c>
      <c r="G92" s="13"/>
      <c r="H92" s="15">
        <v>455</v>
      </c>
      <c r="I92" s="17" t="s">
        <v>664</v>
      </c>
      <c r="J92" s="19">
        <f>IF(H92&gt;0,(H92*VLOOKUP(Lookups!$K$11,Lookups!$M$10:$P$40,4,0)/VLOOKUP(I92,Lookups!$M$10:$P$40,4,0)),"")</f>
        <v>495.62423097366747</v>
      </c>
      <c r="K92" s="15">
        <v>319</v>
      </c>
      <c r="L92" s="17" t="s">
        <v>664</v>
      </c>
      <c r="M92" s="19">
        <f>IF(K92&gt;0,(K92*VLOOKUP(Lookups!$K$11,Lookups!$M$10:$P$40,4,0)/VLOOKUP(L92,Lookups!$M$10:$P$40,4,0)),"")</f>
        <v>347.4816036936262</v>
      </c>
      <c r="N92" s="15">
        <v>980</v>
      </c>
      <c r="O92" s="17" t="s">
        <v>664</v>
      </c>
      <c r="P92" s="19">
        <f>IF(N92&gt;0,(N92*VLOOKUP(Lookups!$K$11,Lookups!$M$10:$P$40,4,0)/VLOOKUP(O92,Lookups!$M$10:$P$40,4,0)),"")</f>
        <v>1067.4983436355915</v>
      </c>
      <c r="Q92" s="13" t="s">
        <v>2503</v>
      </c>
      <c r="R92" s="38" t="s">
        <v>621</v>
      </c>
      <c r="S92" s="13" t="s">
        <v>269</v>
      </c>
      <c r="T92" s="13" t="s">
        <v>1912</v>
      </c>
      <c r="U92" s="13" t="s">
        <v>2504</v>
      </c>
      <c r="V92"/>
      <c r="W92"/>
      <c r="X92"/>
    </row>
    <row r="93" spans="1:24" s="40" customFormat="1" ht="60" hidden="1" customHeight="1" outlineLevel="2" x14ac:dyDescent="0.2">
      <c r="A93" s="37" t="s">
        <v>645</v>
      </c>
      <c r="B93" s="37" t="s">
        <v>691</v>
      </c>
      <c r="C93" s="37" t="s">
        <v>2116</v>
      </c>
      <c r="D93" s="45" t="s">
        <v>2003</v>
      </c>
      <c r="E93" s="13" t="s">
        <v>637</v>
      </c>
      <c r="F93" s="13" t="s">
        <v>1348</v>
      </c>
      <c r="G93" s="13"/>
      <c r="H93" s="15">
        <v>140</v>
      </c>
      <c r="I93" s="17" t="s">
        <v>664</v>
      </c>
      <c r="J93" s="19">
        <f>IF(H93&gt;0,(H93*VLOOKUP(Lookups!$K$11,Lookups!$M$10:$P$40,4,0)/VLOOKUP(I93,Lookups!$M$10:$P$40,4,0)),"")</f>
        <v>152.49976337651307</v>
      </c>
      <c r="K93" s="15"/>
      <c r="L93" s="17"/>
      <c r="M93" s="19" t="str">
        <f>IF(K93&gt;0,(K93*VLOOKUP(Lookups!$K$11,Lookups!$M$10:$P$40,4,0)/VLOOKUP(L93,Lookups!$M$10:$P$40,4,0)),"")</f>
        <v/>
      </c>
      <c r="N93" s="15"/>
      <c r="O93" s="17"/>
      <c r="P93" s="19" t="str">
        <f>IF(N93&gt;0,(N93*VLOOKUP(Lookups!$K$11,Lookups!$M$10:$P$40,4,0)/VLOOKUP(O93,Lookups!$M$10:$P$40,4,0)),"")</f>
        <v/>
      </c>
      <c r="Q93" s="13" t="s">
        <v>2503</v>
      </c>
      <c r="R93" s="38" t="s">
        <v>621</v>
      </c>
      <c r="S93" s="13"/>
      <c r="T93" s="13"/>
      <c r="U93" s="120" t="s">
        <v>2506</v>
      </c>
      <c r="V93"/>
      <c r="W93"/>
      <c r="X93"/>
    </row>
    <row r="94" spans="1:24" s="40" customFormat="1" ht="60" hidden="1" customHeight="1" outlineLevel="2" x14ac:dyDescent="0.2">
      <c r="A94" s="37" t="s">
        <v>645</v>
      </c>
      <c r="B94" s="37" t="s">
        <v>691</v>
      </c>
      <c r="C94" s="37" t="s">
        <v>2117</v>
      </c>
      <c r="D94" s="45" t="s">
        <v>2024</v>
      </c>
      <c r="E94" s="13" t="s">
        <v>637</v>
      </c>
      <c r="F94" s="13" t="s">
        <v>667</v>
      </c>
      <c r="G94" s="13"/>
      <c r="H94" s="15">
        <v>19</v>
      </c>
      <c r="I94" s="17" t="s">
        <v>664</v>
      </c>
      <c r="J94" s="19">
        <f>IF(H94&gt;0,(H94*VLOOKUP(Lookups!$K$11,Lookups!$M$10:$P$40,4,0)/VLOOKUP(I94,Lookups!$M$10:$P$40,4,0)),"")</f>
        <v>20.696396458241058</v>
      </c>
      <c r="K94" s="15"/>
      <c r="L94" s="17"/>
      <c r="M94" s="19" t="str">
        <f>IF(K94&gt;0,(K94*VLOOKUP(Lookups!$K$11,Lookups!$M$10:$P$40,4,0)/VLOOKUP(L94,Lookups!$M$10:$P$40,4,0)),"")</f>
        <v/>
      </c>
      <c r="N94" s="15"/>
      <c r="O94" s="17"/>
      <c r="P94" s="19" t="str">
        <f>IF(N94&gt;0,(N94*VLOOKUP(Lookups!$K$11,Lookups!$M$10:$P$40,4,0)/VLOOKUP(O94,Lookups!$M$10:$P$40,4,0)),"")</f>
        <v/>
      </c>
      <c r="Q94" s="13" t="s">
        <v>2503</v>
      </c>
      <c r="R94" s="38" t="s">
        <v>621</v>
      </c>
      <c r="S94" s="13"/>
      <c r="T94" s="13"/>
      <c r="U94" s="120" t="s">
        <v>2506</v>
      </c>
      <c r="V94"/>
      <c r="W94"/>
      <c r="X94"/>
    </row>
    <row r="95" spans="1:24" s="40" customFormat="1" ht="60" hidden="1" customHeight="1" outlineLevel="2" x14ac:dyDescent="0.2">
      <c r="A95" s="37" t="s">
        <v>645</v>
      </c>
      <c r="B95" s="37" t="s">
        <v>691</v>
      </c>
      <c r="C95" s="37" t="s">
        <v>2118</v>
      </c>
      <c r="D95" s="45" t="s">
        <v>1822</v>
      </c>
      <c r="E95" s="13" t="s">
        <v>637</v>
      </c>
      <c r="F95" s="13" t="s">
        <v>737</v>
      </c>
      <c r="G95" s="13" t="s">
        <v>1418</v>
      </c>
      <c r="H95" s="15">
        <v>77</v>
      </c>
      <c r="I95" s="17" t="s">
        <v>664</v>
      </c>
      <c r="J95" s="19">
        <f>IF(H95&gt;0,(H95*VLOOKUP(Lookups!$K$11,Lookups!$M$10:$P$40,4,0)/VLOOKUP(I95,Lookups!$M$10:$P$40,4,0)),"")</f>
        <v>83.874869857082189</v>
      </c>
      <c r="K95" s="15"/>
      <c r="L95" s="17"/>
      <c r="M95" s="19" t="str">
        <f>IF(K95&gt;0,(K95*VLOOKUP(Lookups!$K$11,Lookups!$M$10:$P$40,4,0)/VLOOKUP(L95,Lookups!$M$10:$P$40,4,0)),"")</f>
        <v/>
      </c>
      <c r="N95" s="15"/>
      <c r="O95" s="17"/>
      <c r="P95" s="19" t="str">
        <f>IF(N95&gt;0,(N95*VLOOKUP(Lookups!$K$11,Lookups!$M$10:$P$40,4,0)/VLOOKUP(O95,Lookups!$M$10:$P$40,4,0)),"")</f>
        <v/>
      </c>
      <c r="Q95" s="13" t="s">
        <v>2503</v>
      </c>
      <c r="R95" s="38" t="s">
        <v>621</v>
      </c>
      <c r="S95" s="13"/>
      <c r="T95" s="13"/>
      <c r="U95" s="120" t="s">
        <v>2506</v>
      </c>
      <c r="V95"/>
      <c r="W95"/>
      <c r="X95"/>
    </row>
    <row r="96" spans="1:24" s="40" customFormat="1" ht="60" hidden="1" customHeight="1" outlineLevel="2" x14ac:dyDescent="0.2">
      <c r="A96" s="37" t="s">
        <v>645</v>
      </c>
      <c r="B96" s="37" t="s">
        <v>691</v>
      </c>
      <c r="C96" s="37" t="s">
        <v>2119</v>
      </c>
      <c r="D96" s="45" t="s">
        <v>1839</v>
      </c>
      <c r="E96" s="13" t="s">
        <v>637</v>
      </c>
      <c r="F96" s="13" t="s">
        <v>674</v>
      </c>
      <c r="G96" s="13"/>
      <c r="H96" s="15">
        <v>15</v>
      </c>
      <c r="I96" s="17" t="s">
        <v>664</v>
      </c>
      <c r="J96" s="19">
        <f>IF(H96&gt;0,(H96*VLOOKUP(Lookups!$K$11,Lookups!$M$10:$P$40,4,0)/VLOOKUP(I96,Lookups!$M$10:$P$40,4,0)),"")</f>
        <v>16.339260361769256</v>
      </c>
      <c r="K96" s="15"/>
      <c r="L96" s="17"/>
      <c r="M96" s="19" t="str">
        <f>IF(K96&gt;0,(K96*VLOOKUP(Lookups!$K$11,Lookups!$M$10:$P$40,4,0)/VLOOKUP(L96,Lookups!$M$10:$P$40,4,0)),"")</f>
        <v/>
      </c>
      <c r="N96" s="15"/>
      <c r="O96" s="17"/>
      <c r="P96" s="19" t="str">
        <f>IF(N96&gt;0,(N96*VLOOKUP(Lookups!$K$11,Lookups!$M$10:$P$40,4,0)/VLOOKUP(O96,Lookups!$M$10:$P$40,4,0)),"")</f>
        <v/>
      </c>
      <c r="Q96" s="13" t="s">
        <v>2503</v>
      </c>
      <c r="R96" s="38" t="s">
        <v>621</v>
      </c>
      <c r="S96" s="13"/>
      <c r="T96" s="13"/>
      <c r="U96" s="120" t="s">
        <v>2506</v>
      </c>
      <c r="V96"/>
      <c r="W96"/>
      <c r="X96"/>
    </row>
    <row r="97" spans="1:24" s="40" customFormat="1" ht="60" hidden="1" customHeight="1" outlineLevel="2" x14ac:dyDescent="0.2">
      <c r="A97" s="37" t="s">
        <v>645</v>
      </c>
      <c r="B97" s="37" t="s">
        <v>691</v>
      </c>
      <c r="C97" s="37" t="s">
        <v>2120</v>
      </c>
      <c r="D97" s="45" t="s">
        <v>1711</v>
      </c>
      <c r="E97" s="13" t="s">
        <v>637</v>
      </c>
      <c r="F97" s="13" t="s">
        <v>712</v>
      </c>
      <c r="G97" s="13"/>
      <c r="H97" s="15">
        <v>58</v>
      </c>
      <c r="I97" s="17" t="s">
        <v>664</v>
      </c>
      <c r="J97" s="19">
        <f>IF(H97&gt;0,(H97*VLOOKUP(Lookups!$K$11,Lookups!$M$10:$P$40,4,0)/VLOOKUP(I97,Lookups!$M$10:$P$40,4,0)),"")</f>
        <v>63.178473398841128</v>
      </c>
      <c r="K97" s="15"/>
      <c r="L97" s="17"/>
      <c r="M97" s="19" t="str">
        <f>IF(K97&gt;0,(K97*VLOOKUP(Lookups!$K$11,Lookups!$M$10:$P$40,4,0)/VLOOKUP(L97,Lookups!$M$10:$P$40,4,0)),"")</f>
        <v/>
      </c>
      <c r="N97" s="15"/>
      <c r="O97" s="17"/>
      <c r="P97" s="19" t="str">
        <f>IF(N97&gt;0,(N97*VLOOKUP(Lookups!$K$11,Lookups!$M$10:$P$40,4,0)/VLOOKUP(O97,Lookups!$M$10:$P$40,4,0)),"")</f>
        <v/>
      </c>
      <c r="Q97" s="13" t="s">
        <v>2503</v>
      </c>
      <c r="R97" s="38" t="s">
        <v>621</v>
      </c>
      <c r="S97" s="13"/>
      <c r="T97" s="13"/>
      <c r="U97" s="120" t="s">
        <v>2506</v>
      </c>
      <c r="V97"/>
      <c r="W97"/>
      <c r="X97"/>
    </row>
    <row r="98" spans="1:24" s="40" customFormat="1" ht="60" hidden="1" customHeight="1" outlineLevel="2" x14ac:dyDescent="0.2">
      <c r="A98" s="37" t="s">
        <v>645</v>
      </c>
      <c r="B98" s="37" t="s">
        <v>691</v>
      </c>
      <c r="C98" s="37" t="s">
        <v>2121</v>
      </c>
      <c r="D98" s="45" t="s">
        <v>1854</v>
      </c>
      <c r="E98" s="13" t="s">
        <v>637</v>
      </c>
      <c r="F98" s="13" t="s">
        <v>629</v>
      </c>
      <c r="G98" s="13"/>
      <c r="H98" s="15">
        <v>146</v>
      </c>
      <c r="I98" s="17" t="s">
        <v>664</v>
      </c>
      <c r="J98" s="19">
        <f>IF(H98&gt;0,(H98*VLOOKUP(Lookups!$K$11,Lookups!$M$10:$P$40,4,0)/VLOOKUP(I98,Lookups!$M$10:$P$40,4,0)),"")</f>
        <v>159.03546752122077</v>
      </c>
      <c r="K98" s="15"/>
      <c r="L98" s="17"/>
      <c r="M98" s="19" t="str">
        <f>IF(K98&gt;0,(K98*VLOOKUP(Lookups!$K$11,Lookups!$M$10:$P$40,4,0)/VLOOKUP(L98,Lookups!$M$10:$P$40,4,0)),"")</f>
        <v/>
      </c>
      <c r="N98" s="15"/>
      <c r="O98" s="17"/>
      <c r="P98" s="19" t="str">
        <f>IF(N98&gt;0,(N98*VLOOKUP(Lookups!$K$11,Lookups!$M$10:$P$40,4,0)/VLOOKUP(O98,Lookups!$M$10:$P$40,4,0)),"")</f>
        <v/>
      </c>
      <c r="Q98" s="13" t="s">
        <v>2503</v>
      </c>
      <c r="R98" s="38" t="s">
        <v>621</v>
      </c>
      <c r="S98" s="13"/>
      <c r="T98" s="13"/>
      <c r="U98" s="120" t="s">
        <v>2506</v>
      </c>
      <c r="V98"/>
      <c r="W98"/>
      <c r="X98"/>
    </row>
    <row r="99" spans="1:24" s="40" customFormat="1" ht="60" hidden="1" customHeight="1" outlineLevel="1" x14ac:dyDescent="0.2">
      <c r="A99" s="46" t="s">
        <v>645</v>
      </c>
      <c r="B99" s="46" t="s">
        <v>691</v>
      </c>
      <c r="C99" s="46" t="s">
        <v>2122</v>
      </c>
      <c r="D99" s="46" t="s">
        <v>1788</v>
      </c>
      <c r="E99" s="13" t="s">
        <v>637</v>
      </c>
      <c r="F99" s="13" t="s">
        <v>712</v>
      </c>
      <c r="G99" s="13"/>
      <c r="H99" s="15">
        <v>3674</v>
      </c>
      <c r="I99" s="17" t="s">
        <v>664</v>
      </c>
      <c r="J99" s="19">
        <f>IF(H99&gt;0,(H99*VLOOKUP(Lookups!$K$11,Lookups!$M$10:$P$40,4,0)/VLOOKUP(I99,Lookups!$M$10:$P$40,4,0)),"")</f>
        <v>4002.0295046093497</v>
      </c>
      <c r="K99" s="15">
        <v>1344</v>
      </c>
      <c r="L99" s="17" t="s">
        <v>664</v>
      </c>
      <c r="M99" s="19">
        <f>IF(K99&gt;0,(K99*VLOOKUP(Lookups!$K$11,Lookups!$M$10:$P$40,4,0)/VLOOKUP(L99,Lookups!$M$10:$P$40,4,0)),"")</f>
        <v>1463.9977284145252</v>
      </c>
      <c r="N99" s="15">
        <v>3789</v>
      </c>
      <c r="O99" s="17" t="s">
        <v>664</v>
      </c>
      <c r="P99" s="19">
        <f>IF(N99&gt;0,(N99*VLOOKUP(Lookups!$K$11,Lookups!$M$10:$P$40,4,0)/VLOOKUP(O99,Lookups!$M$10:$P$40,4,0)),"")</f>
        <v>4127.2971673829143</v>
      </c>
      <c r="Q99" s="13" t="s">
        <v>2503</v>
      </c>
      <c r="R99" s="38" t="s">
        <v>621</v>
      </c>
      <c r="S99" s="13" t="s">
        <v>270</v>
      </c>
      <c r="T99" s="13" t="s">
        <v>1912</v>
      </c>
      <c r="U99" s="13" t="s">
        <v>2504</v>
      </c>
      <c r="V99"/>
      <c r="W99"/>
      <c r="X99"/>
    </row>
    <row r="100" spans="1:24" s="40" customFormat="1" ht="60" hidden="1" customHeight="1" outlineLevel="2" x14ac:dyDescent="0.2">
      <c r="A100" s="37" t="s">
        <v>645</v>
      </c>
      <c r="B100" s="37" t="s">
        <v>691</v>
      </c>
      <c r="C100" s="37" t="s">
        <v>2123</v>
      </c>
      <c r="D100" s="45" t="s">
        <v>2004</v>
      </c>
      <c r="E100" s="13" t="s">
        <v>637</v>
      </c>
      <c r="F100" s="13" t="s">
        <v>1348</v>
      </c>
      <c r="G100" s="13"/>
      <c r="H100" s="15">
        <v>1041</v>
      </c>
      <c r="I100" s="17" t="s">
        <v>664</v>
      </c>
      <c r="J100" s="19">
        <f>IF(H100&gt;0,(H100*VLOOKUP(Lookups!$K$11,Lookups!$M$10:$P$40,4,0)/VLOOKUP(I100,Lookups!$M$10:$P$40,4,0)),"")</f>
        <v>1133.9446691067865</v>
      </c>
      <c r="K100" s="15"/>
      <c r="L100" s="17"/>
      <c r="M100" s="19" t="str">
        <f>IF(K100&gt;0,(K100*VLOOKUP(Lookups!$K$11,Lookups!$M$10:$P$40,4,0)/VLOOKUP(L100,Lookups!$M$10:$P$40,4,0)),"")</f>
        <v/>
      </c>
      <c r="N100" s="15"/>
      <c r="O100" s="17"/>
      <c r="P100" s="19" t="str">
        <f>IF(N100&gt;0,(N100*VLOOKUP(Lookups!$K$11,Lookups!$M$10:$P$40,4,0)/VLOOKUP(O100,Lookups!$M$10:$P$40,4,0)),"")</f>
        <v/>
      </c>
      <c r="Q100" s="13" t="s">
        <v>2503</v>
      </c>
      <c r="R100" s="38" t="s">
        <v>621</v>
      </c>
      <c r="S100" s="13"/>
      <c r="T100" s="13"/>
      <c r="U100" s="120" t="s">
        <v>2506</v>
      </c>
      <c r="V100"/>
      <c r="W100"/>
      <c r="X100"/>
    </row>
    <row r="101" spans="1:24" s="40" customFormat="1" ht="60" hidden="1" customHeight="1" outlineLevel="2" x14ac:dyDescent="0.2">
      <c r="A101" s="37" t="s">
        <v>645</v>
      </c>
      <c r="B101" s="37" t="s">
        <v>691</v>
      </c>
      <c r="C101" s="37" t="s">
        <v>2124</v>
      </c>
      <c r="D101" s="45" t="s">
        <v>2025</v>
      </c>
      <c r="E101" s="13" t="s">
        <v>637</v>
      </c>
      <c r="F101" s="13" t="s">
        <v>667</v>
      </c>
      <c r="G101" s="13"/>
      <c r="H101" s="15">
        <v>95</v>
      </c>
      <c r="I101" s="17" t="s">
        <v>664</v>
      </c>
      <c r="J101" s="19">
        <f>IF(H101&gt;0,(H101*VLOOKUP(Lookups!$K$11,Lookups!$M$10:$P$40,4,0)/VLOOKUP(I101,Lookups!$M$10:$P$40,4,0)),"")</f>
        <v>103.4819822912053</v>
      </c>
      <c r="K101" s="15"/>
      <c r="L101" s="17"/>
      <c r="M101" s="19" t="str">
        <f>IF(K101&gt;0,(K101*VLOOKUP(Lookups!$K$11,Lookups!$M$10:$P$40,4,0)/VLOOKUP(L101,Lookups!$M$10:$P$40,4,0)),"")</f>
        <v/>
      </c>
      <c r="N101" s="15"/>
      <c r="O101" s="17"/>
      <c r="P101" s="19" t="str">
        <f>IF(N101&gt;0,(N101*VLOOKUP(Lookups!$K$11,Lookups!$M$10:$P$40,4,0)/VLOOKUP(O101,Lookups!$M$10:$P$40,4,0)),"")</f>
        <v/>
      </c>
      <c r="Q101" s="13" t="s">
        <v>2503</v>
      </c>
      <c r="R101" s="38" t="s">
        <v>621</v>
      </c>
      <c r="S101" s="13"/>
      <c r="T101" s="13"/>
      <c r="U101" s="120" t="s">
        <v>2506</v>
      </c>
      <c r="V101"/>
      <c r="W101"/>
      <c r="X101"/>
    </row>
    <row r="102" spans="1:24" s="40" customFormat="1" ht="60" hidden="1" customHeight="1" outlineLevel="2" x14ac:dyDescent="0.2">
      <c r="A102" s="37" t="s">
        <v>645</v>
      </c>
      <c r="B102" s="37" t="s">
        <v>691</v>
      </c>
      <c r="C102" s="37" t="s">
        <v>2125</v>
      </c>
      <c r="D102" s="45" t="s">
        <v>1823</v>
      </c>
      <c r="E102" s="13" t="s">
        <v>637</v>
      </c>
      <c r="F102" s="13" t="s">
        <v>737</v>
      </c>
      <c r="G102" s="13" t="s">
        <v>1418</v>
      </c>
      <c r="H102" s="15">
        <v>561</v>
      </c>
      <c r="I102" s="17" t="s">
        <v>664</v>
      </c>
      <c r="J102" s="19">
        <f>IF(H102&gt;0,(H102*VLOOKUP(Lookups!$K$11,Lookups!$M$10:$P$40,4,0)/VLOOKUP(I102,Lookups!$M$10:$P$40,4,0)),"")</f>
        <v>611.08833753017018</v>
      </c>
      <c r="K102" s="15"/>
      <c r="L102" s="17"/>
      <c r="M102" s="19" t="str">
        <f>IF(K102&gt;0,(K102*VLOOKUP(Lookups!$K$11,Lookups!$M$10:$P$40,4,0)/VLOOKUP(L102,Lookups!$M$10:$P$40,4,0)),"")</f>
        <v/>
      </c>
      <c r="N102" s="15"/>
      <c r="O102" s="17"/>
      <c r="P102" s="19" t="str">
        <f>IF(N102&gt;0,(N102*VLOOKUP(Lookups!$K$11,Lookups!$M$10:$P$40,4,0)/VLOOKUP(O102,Lookups!$M$10:$P$40,4,0)),"")</f>
        <v/>
      </c>
      <c r="Q102" s="13" t="s">
        <v>2503</v>
      </c>
      <c r="R102" s="38" t="s">
        <v>621</v>
      </c>
      <c r="S102" s="13"/>
      <c r="T102" s="13"/>
      <c r="U102" s="120" t="s">
        <v>2506</v>
      </c>
      <c r="V102"/>
      <c r="W102"/>
      <c r="X102"/>
    </row>
    <row r="103" spans="1:24" s="40" customFormat="1" ht="60" hidden="1" customHeight="1" outlineLevel="2" x14ac:dyDescent="0.2">
      <c r="A103" s="37" t="s">
        <v>645</v>
      </c>
      <c r="B103" s="37" t="s">
        <v>691</v>
      </c>
      <c r="C103" s="37" t="s">
        <v>2126</v>
      </c>
      <c r="D103" s="45" t="s">
        <v>1840</v>
      </c>
      <c r="E103" s="13" t="s">
        <v>637</v>
      </c>
      <c r="F103" s="13" t="s">
        <v>674</v>
      </c>
      <c r="G103" s="13"/>
      <c r="H103" s="15">
        <v>1009</v>
      </c>
      <c r="I103" s="17" t="s">
        <v>664</v>
      </c>
      <c r="J103" s="19">
        <f>IF(H103&gt;0,(H103*VLOOKUP(Lookups!$K$11,Lookups!$M$10:$P$40,4,0)/VLOOKUP(I103,Lookups!$M$10:$P$40,4,0)),"")</f>
        <v>1099.087580335012</v>
      </c>
      <c r="K103" s="15"/>
      <c r="L103" s="17"/>
      <c r="M103" s="19" t="str">
        <f>IF(K103&gt;0,(K103*VLOOKUP(Lookups!$K$11,Lookups!$M$10:$P$40,4,0)/VLOOKUP(L103,Lookups!$M$10:$P$40,4,0)),"")</f>
        <v/>
      </c>
      <c r="N103" s="15"/>
      <c r="O103" s="17"/>
      <c r="P103" s="19" t="str">
        <f>IF(N103&gt;0,(N103*VLOOKUP(Lookups!$K$11,Lookups!$M$10:$P$40,4,0)/VLOOKUP(O103,Lookups!$M$10:$P$40,4,0)),"")</f>
        <v/>
      </c>
      <c r="Q103" s="13" t="s">
        <v>2503</v>
      </c>
      <c r="R103" s="38" t="s">
        <v>621</v>
      </c>
      <c r="S103" s="13"/>
      <c r="T103" s="13"/>
      <c r="U103" s="120" t="s">
        <v>2506</v>
      </c>
      <c r="V103"/>
      <c r="W103"/>
      <c r="X103"/>
    </row>
    <row r="104" spans="1:24" s="40" customFormat="1" ht="60" hidden="1" customHeight="1" outlineLevel="2" x14ac:dyDescent="0.2">
      <c r="A104" s="37" t="s">
        <v>645</v>
      </c>
      <c r="B104" s="37" t="s">
        <v>691</v>
      </c>
      <c r="C104" s="37" t="s">
        <v>2127</v>
      </c>
      <c r="D104" s="45" t="s">
        <v>1712</v>
      </c>
      <c r="E104" s="13" t="s">
        <v>637</v>
      </c>
      <c r="F104" s="13" t="s">
        <v>712</v>
      </c>
      <c r="G104" s="13"/>
      <c r="H104" s="15">
        <v>395</v>
      </c>
      <c r="I104" s="17" t="s">
        <v>664</v>
      </c>
      <c r="J104" s="19">
        <f>IF(H104&gt;0,(H104*VLOOKUP(Lookups!$K$11,Lookups!$M$10:$P$40,4,0)/VLOOKUP(I104,Lookups!$M$10:$P$40,4,0)),"")</f>
        <v>430.26718952659041</v>
      </c>
      <c r="K104" s="15"/>
      <c r="L104" s="17"/>
      <c r="M104" s="19" t="str">
        <f>IF(K104&gt;0,(K104*VLOOKUP(Lookups!$K$11,Lookups!$M$10:$P$40,4,0)/VLOOKUP(L104,Lookups!$M$10:$P$40,4,0)),"")</f>
        <v/>
      </c>
      <c r="N104" s="15"/>
      <c r="O104" s="17"/>
      <c r="P104" s="19" t="str">
        <f>IF(N104&gt;0,(N104*VLOOKUP(Lookups!$K$11,Lookups!$M$10:$P$40,4,0)/VLOOKUP(O104,Lookups!$M$10:$P$40,4,0)),"")</f>
        <v/>
      </c>
      <c r="Q104" s="13" t="s">
        <v>2503</v>
      </c>
      <c r="R104" s="38" t="s">
        <v>621</v>
      </c>
      <c r="S104" s="13"/>
      <c r="T104" s="13"/>
      <c r="U104" s="120" t="s">
        <v>2506</v>
      </c>
      <c r="V104"/>
      <c r="W104"/>
      <c r="X104"/>
    </row>
    <row r="105" spans="1:24" s="40" customFormat="1" ht="60" hidden="1" customHeight="1" outlineLevel="2" x14ac:dyDescent="0.2">
      <c r="A105" s="37" t="s">
        <v>645</v>
      </c>
      <c r="B105" s="37" t="s">
        <v>691</v>
      </c>
      <c r="C105" s="37" t="s">
        <v>2128</v>
      </c>
      <c r="D105" s="45" t="s">
        <v>1855</v>
      </c>
      <c r="E105" s="13" t="s">
        <v>637</v>
      </c>
      <c r="F105" s="13" t="s">
        <v>629</v>
      </c>
      <c r="G105" s="13"/>
      <c r="H105" s="15">
        <v>572</v>
      </c>
      <c r="I105" s="17" t="s">
        <v>664</v>
      </c>
      <c r="J105" s="19">
        <f>IF(H105&gt;0,(H105*VLOOKUP(Lookups!$K$11,Lookups!$M$10:$P$40,4,0)/VLOOKUP(I105,Lookups!$M$10:$P$40,4,0)),"")</f>
        <v>623.07046179546762</v>
      </c>
      <c r="K105" s="15"/>
      <c r="L105" s="17"/>
      <c r="M105" s="19" t="str">
        <f>IF(K105&gt;0,(K105*VLOOKUP(Lookups!$K$11,Lookups!$M$10:$P$40,4,0)/VLOOKUP(L105,Lookups!$M$10:$P$40,4,0)),"")</f>
        <v/>
      </c>
      <c r="N105" s="15"/>
      <c r="O105" s="17"/>
      <c r="P105" s="19" t="str">
        <f>IF(N105&gt;0,(N105*VLOOKUP(Lookups!$K$11,Lookups!$M$10:$P$40,4,0)/VLOOKUP(O105,Lookups!$M$10:$P$40,4,0)),"")</f>
        <v/>
      </c>
      <c r="Q105" s="13" t="s">
        <v>2503</v>
      </c>
      <c r="R105" s="38" t="s">
        <v>621</v>
      </c>
      <c r="S105" s="13"/>
      <c r="T105" s="13"/>
      <c r="U105" s="120" t="s">
        <v>2506</v>
      </c>
      <c r="V105"/>
      <c r="W105"/>
      <c r="X105"/>
    </row>
    <row r="106" spans="1:24" s="40" customFormat="1" ht="60" hidden="1" customHeight="1" outlineLevel="1" x14ac:dyDescent="0.2">
      <c r="A106" s="46" t="s">
        <v>645</v>
      </c>
      <c r="B106" s="46" t="s">
        <v>636</v>
      </c>
      <c r="C106" s="46" t="s">
        <v>2129</v>
      </c>
      <c r="D106" s="46" t="s">
        <v>1789</v>
      </c>
      <c r="E106" s="13" t="s">
        <v>637</v>
      </c>
      <c r="F106" s="13" t="s">
        <v>614</v>
      </c>
      <c r="G106" s="13"/>
      <c r="H106" s="15">
        <v>1361</v>
      </c>
      <c r="I106" s="17" t="s">
        <v>664</v>
      </c>
      <c r="J106" s="19">
        <f>IF(H106&gt;0,(H106*VLOOKUP(Lookups!$K$11,Lookups!$M$10:$P$40,4,0)/VLOOKUP(I106,Lookups!$M$10:$P$40,4,0)),"")</f>
        <v>1482.5155568245307</v>
      </c>
      <c r="K106" s="15">
        <v>1746</v>
      </c>
      <c r="L106" s="17" t="s">
        <v>664</v>
      </c>
      <c r="M106" s="19">
        <f>IF(K106&gt;0,(K106*VLOOKUP(Lookups!$K$11,Lookups!$M$10:$P$40,4,0)/VLOOKUP(L106,Lookups!$M$10:$P$40,4,0)),"")</f>
        <v>1901.8899061099416</v>
      </c>
      <c r="N106" s="15">
        <v>803</v>
      </c>
      <c r="O106" s="17" t="s">
        <v>664</v>
      </c>
      <c r="P106" s="19">
        <f>IF(N106&gt;0,(N106*VLOOKUP(Lookups!$K$11,Lookups!$M$10:$P$40,4,0)/VLOOKUP(O106,Lookups!$M$10:$P$40,4,0)),"")</f>
        <v>874.69507136671416</v>
      </c>
      <c r="Q106" s="13" t="s">
        <v>2503</v>
      </c>
      <c r="R106" s="38" t="s">
        <v>621</v>
      </c>
      <c r="S106" s="13" t="s">
        <v>157</v>
      </c>
      <c r="T106" s="13" t="s">
        <v>1912</v>
      </c>
      <c r="U106" s="13" t="s">
        <v>2504</v>
      </c>
      <c r="V106"/>
      <c r="W106"/>
      <c r="X106"/>
    </row>
    <row r="107" spans="1:24" s="40" customFormat="1" ht="60" hidden="1" customHeight="1" outlineLevel="2" x14ac:dyDescent="0.2">
      <c r="A107" s="37" t="s">
        <v>645</v>
      </c>
      <c r="B107" s="37" t="s">
        <v>636</v>
      </c>
      <c r="C107" s="37" t="s">
        <v>2130</v>
      </c>
      <c r="D107" s="45" t="s">
        <v>2005</v>
      </c>
      <c r="E107" s="13" t="s">
        <v>637</v>
      </c>
      <c r="F107" s="13" t="s">
        <v>1348</v>
      </c>
      <c r="G107" s="13"/>
      <c r="H107" s="15">
        <v>683</v>
      </c>
      <c r="I107" s="17" t="s">
        <v>664</v>
      </c>
      <c r="J107" s="19">
        <f>IF(H107&gt;0,(H107*VLOOKUP(Lookups!$K$11,Lookups!$M$10:$P$40,4,0)/VLOOKUP(I107,Lookups!$M$10:$P$40,4,0)),"")</f>
        <v>743.98098847256017</v>
      </c>
      <c r="K107" s="15"/>
      <c r="L107" s="17"/>
      <c r="M107" s="19" t="str">
        <f>IF(K107&gt;0,(K107*VLOOKUP(Lookups!$K$11,Lookups!$M$10:$P$40,4,0)/VLOOKUP(L107,Lookups!$M$10:$P$40,4,0)),"")</f>
        <v/>
      </c>
      <c r="N107" s="15"/>
      <c r="O107" s="17"/>
      <c r="P107" s="19" t="str">
        <f>IF(N107&gt;0,(N107*VLOOKUP(Lookups!$K$11,Lookups!$M$10:$P$40,4,0)/VLOOKUP(O107,Lookups!$M$10:$P$40,4,0)),"")</f>
        <v/>
      </c>
      <c r="Q107" s="13" t="s">
        <v>2503</v>
      </c>
      <c r="R107" s="38" t="s">
        <v>621</v>
      </c>
      <c r="S107" s="13"/>
      <c r="T107" s="13"/>
      <c r="U107" s="120" t="s">
        <v>2506</v>
      </c>
      <c r="V107"/>
      <c r="W107"/>
      <c r="X107"/>
    </row>
    <row r="108" spans="1:24" s="40" customFormat="1" ht="60" hidden="1" customHeight="1" outlineLevel="2" x14ac:dyDescent="0.2">
      <c r="A108" s="37" t="s">
        <v>645</v>
      </c>
      <c r="B108" s="37" t="s">
        <v>636</v>
      </c>
      <c r="C108" s="37" t="s">
        <v>2131</v>
      </c>
      <c r="D108" s="45" t="s">
        <v>2026</v>
      </c>
      <c r="E108" s="13" t="s">
        <v>637</v>
      </c>
      <c r="F108" s="13" t="s">
        <v>667</v>
      </c>
      <c r="G108" s="13"/>
      <c r="H108" s="15">
        <v>81</v>
      </c>
      <c r="I108" s="17" t="s">
        <v>664</v>
      </c>
      <c r="J108" s="19">
        <f>IF(H108&gt;0,(H108*VLOOKUP(Lookups!$K$11,Lookups!$M$10:$P$40,4,0)/VLOOKUP(I108,Lookups!$M$10:$P$40,4,0)),"")</f>
        <v>88.23200595355398</v>
      </c>
      <c r="K108" s="15"/>
      <c r="L108" s="17"/>
      <c r="M108" s="19" t="str">
        <f>IF(K108&gt;0,(K108*VLOOKUP(Lookups!$K$11,Lookups!$M$10:$P$40,4,0)/VLOOKUP(L108,Lookups!$M$10:$P$40,4,0)),"")</f>
        <v/>
      </c>
      <c r="N108" s="15"/>
      <c r="O108" s="17"/>
      <c r="P108" s="19" t="str">
        <f>IF(N108&gt;0,(N108*VLOOKUP(Lookups!$K$11,Lookups!$M$10:$P$40,4,0)/VLOOKUP(O108,Lookups!$M$10:$P$40,4,0)),"")</f>
        <v/>
      </c>
      <c r="Q108" s="13" t="s">
        <v>2503</v>
      </c>
      <c r="R108" s="38" t="s">
        <v>621</v>
      </c>
      <c r="S108" s="13"/>
      <c r="T108" s="13"/>
      <c r="U108" s="120" t="s">
        <v>2506</v>
      </c>
      <c r="V108"/>
      <c r="W108"/>
      <c r="X108"/>
    </row>
    <row r="109" spans="1:24" s="40" customFormat="1" ht="60" hidden="1" customHeight="1" outlineLevel="2" x14ac:dyDescent="0.2">
      <c r="A109" s="37" t="s">
        <v>645</v>
      </c>
      <c r="B109" s="37" t="s">
        <v>636</v>
      </c>
      <c r="C109" s="37" t="s">
        <v>2132</v>
      </c>
      <c r="D109" s="45" t="s">
        <v>1824</v>
      </c>
      <c r="E109" s="13" t="s">
        <v>637</v>
      </c>
      <c r="F109" s="13" t="s">
        <v>737</v>
      </c>
      <c r="G109" s="13" t="s">
        <v>1418</v>
      </c>
      <c r="H109" s="15">
        <v>129</v>
      </c>
      <c r="I109" s="17" t="s">
        <v>664</v>
      </c>
      <c r="J109" s="19">
        <f>IF(H109&gt;0,(H109*VLOOKUP(Lookups!$K$11,Lookups!$M$10:$P$40,4,0)/VLOOKUP(I109,Lookups!$M$10:$P$40,4,0)),"")</f>
        <v>140.5176391112156</v>
      </c>
      <c r="K109" s="15"/>
      <c r="L109" s="17"/>
      <c r="M109" s="19" t="str">
        <f>IF(K109&gt;0,(K109*VLOOKUP(Lookups!$K$11,Lookups!$M$10:$P$40,4,0)/VLOOKUP(L109,Lookups!$M$10:$P$40,4,0)),"")</f>
        <v/>
      </c>
      <c r="N109" s="15"/>
      <c r="O109" s="17"/>
      <c r="P109" s="19" t="str">
        <f>IF(N109&gt;0,(N109*VLOOKUP(Lookups!$K$11,Lookups!$M$10:$P$40,4,0)/VLOOKUP(O109,Lookups!$M$10:$P$40,4,0)),"")</f>
        <v/>
      </c>
      <c r="Q109" s="13" t="s">
        <v>2503</v>
      </c>
      <c r="R109" s="38" t="s">
        <v>621</v>
      </c>
      <c r="S109" s="13"/>
      <c r="T109" s="13"/>
      <c r="U109" s="120" t="s">
        <v>2506</v>
      </c>
      <c r="V109"/>
      <c r="W109"/>
      <c r="X109"/>
    </row>
    <row r="110" spans="1:24" s="40" customFormat="1" ht="60" hidden="1" customHeight="1" outlineLevel="2" x14ac:dyDescent="0.2">
      <c r="A110" s="37" t="s">
        <v>645</v>
      </c>
      <c r="B110" s="37" t="s">
        <v>636</v>
      </c>
      <c r="C110" s="37" t="s">
        <v>2133</v>
      </c>
      <c r="D110" s="45" t="s">
        <v>1841</v>
      </c>
      <c r="E110" s="13" t="s">
        <v>637</v>
      </c>
      <c r="F110" s="13" t="s">
        <v>674</v>
      </c>
      <c r="G110" s="13"/>
      <c r="H110" s="15">
        <v>366</v>
      </c>
      <c r="I110" s="17" t="s">
        <v>664</v>
      </c>
      <c r="J110" s="19">
        <f>IF(H110&gt;0,(H110*VLOOKUP(Lookups!$K$11,Lookups!$M$10:$P$40,4,0)/VLOOKUP(I110,Lookups!$M$10:$P$40,4,0)),"")</f>
        <v>398.67795282716986</v>
      </c>
      <c r="K110" s="15"/>
      <c r="L110" s="17"/>
      <c r="M110" s="19" t="str">
        <f>IF(K110&gt;0,(K110*VLOOKUP(Lookups!$K$11,Lookups!$M$10:$P$40,4,0)/VLOOKUP(L110,Lookups!$M$10:$P$40,4,0)),"")</f>
        <v/>
      </c>
      <c r="N110" s="15"/>
      <c r="O110" s="17"/>
      <c r="P110" s="19" t="str">
        <f>IF(N110&gt;0,(N110*VLOOKUP(Lookups!$K$11,Lookups!$M$10:$P$40,4,0)/VLOOKUP(O110,Lookups!$M$10:$P$40,4,0)),"")</f>
        <v/>
      </c>
      <c r="Q110" s="13" t="s">
        <v>2503</v>
      </c>
      <c r="R110" s="38" t="s">
        <v>621</v>
      </c>
      <c r="S110" s="13"/>
      <c r="T110" s="13"/>
      <c r="U110" s="120" t="s">
        <v>2506</v>
      </c>
      <c r="V110"/>
      <c r="W110"/>
      <c r="X110"/>
    </row>
    <row r="111" spans="1:24" s="40" customFormat="1" ht="60" hidden="1" customHeight="1" outlineLevel="2" x14ac:dyDescent="0.2">
      <c r="A111" s="37" t="s">
        <v>645</v>
      </c>
      <c r="B111" s="37" t="s">
        <v>636</v>
      </c>
      <c r="C111" s="37" t="s">
        <v>2134</v>
      </c>
      <c r="D111" s="45" t="s">
        <v>1715</v>
      </c>
      <c r="E111" s="13" t="s">
        <v>637</v>
      </c>
      <c r="F111" s="13" t="s">
        <v>712</v>
      </c>
      <c r="G111" s="13"/>
      <c r="H111" s="15">
        <v>102</v>
      </c>
      <c r="I111" s="17" t="s">
        <v>664</v>
      </c>
      <c r="J111" s="19">
        <f>IF(H111&gt;0,(H111*VLOOKUP(Lookups!$K$11,Lookups!$M$10:$P$40,4,0)/VLOOKUP(I111,Lookups!$M$10:$P$40,4,0)),"")</f>
        <v>111.10697046003094</v>
      </c>
      <c r="K111" s="15"/>
      <c r="L111" s="17"/>
      <c r="M111" s="19" t="str">
        <f>IF(K111&gt;0,(K111*VLOOKUP(Lookups!$K$11,Lookups!$M$10:$P$40,4,0)/VLOOKUP(L111,Lookups!$M$10:$P$40,4,0)),"")</f>
        <v/>
      </c>
      <c r="N111" s="15"/>
      <c r="O111" s="17"/>
      <c r="P111" s="19" t="str">
        <f>IF(N111&gt;0,(N111*VLOOKUP(Lookups!$K$11,Lookups!$M$10:$P$40,4,0)/VLOOKUP(O111,Lookups!$M$10:$P$40,4,0)),"")</f>
        <v/>
      </c>
      <c r="Q111" s="13" t="s">
        <v>2503</v>
      </c>
      <c r="R111" s="38" t="s">
        <v>621</v>
      </c>
      <c r="S111" s="13"/>
      <c r="T111" s="13"/>
      <c r="U111" s="120" t="s">
        <v>2506</v>
      </c>
      <c r="V111"/>
      <c r="W111"/>
      <c r="X111"/>
    </row>
    <row r="112" spans="1:24" s="40" customFormat="1" ht="60" hidden="1" customHeight="1" outlineLevel="1" x14ac:dyDescent="0.2">
      <c r="A112" s="46" t="s">
        <v>645</v>
      </c>
      <c r="B112" s="46" t="s">
        <v>636</v>
      </c>
      <c r="C112" s="46" t="s">
        <v>2135</v>
      </c>
      <c r="D112" s="46" t="s">
        <v>1790</v>
      </c>
      <c r="E112" s="13" t="s">
        <v>637</v>
      </c>
      <c r="F112" s="13" t="s">
        <v>614</v>
      </c>
      <c r="G112" s="13"/>
      <c r="H112" s="15">
        <v>358</v>
      </c>
      <c r="I112" s="17" t="s">
        <v>664</v>
      </c>
      <c r="J112" s="19">
        <f>IF(H112&gt;0,(H112*VLOOKUP(Lookups!$K$11,Lookups!$M$10:$P$40,4,0)/VLOOKUP(I112,Lookups!$M$10:$P$40,4,0)),"")</f>
        <v>389.96368063422631</v>
      </c>
      <c r="K112" s="15">
        <v>255</v>
      </c>
      <c r="L112" s="17" t="s">
        <v>664</v>
      </c>
      <c r="M112" s="19">
        <f>IF(K112&gt;0,(K112*VLOOKUP(Lookups!$K$11,Lookups!$M$10:$P$40,4,0)/VLOOKUP(L112,Lookups!$M$10:$P$40,4,0)),"")</f>
        <v>277.76742615007737</v>
      </c>
      <c r="N112" s="15">
        <v>147</v>
      </c>
      <c r="O112" s="17" t="s">
        <v>664</v>
      </c>
      <c r="P112" s="19">
        <f>IF(N112&gt;0,(N112*VLOOKUP(Lookups!$K$11,Lookups!$M$10:$P$40,4,0)/VLOOKUP(O112,Lookups!$M$10:$P$40,4,0)),"")</f>
        <v>160.12475154533871</v>
      </c>
      <c r="Q112" s="13" t="s">
        <v>2503</v>
      </c>
      <c r="R112" s="38" t="s">
        <v>621</v>
      </c>
      <c r="S112" s="13" t="s">
        <v>158</v>
      </c>
      <c r="T112" s="13" t="s">
        <v>1912</v>
      </c>
      <c r="U112" s="13" t="s">
        <v>2504</v>
      </c>
      <c r="V112"/>
      <c r="W112"/>
      <c r="X112"/>
    </row>
    <row r="113" spans="1:24" s="40" customFormat="1" ht="60" hidden="1" customHeight="1" outlineLevel="2" x14ac:dyDescent="0.2">
      <c r="A113" s="37" t="s">
        <v>645</v>
      </c>
      <c r="B113" s="37" t="s">
        <v>636</v>
      </c>
      <c r="C113" s="37" t="s">
        <v>2136</v>
      </c>
      <c r="D113" s="45" t="s">
        <v>2006</v>
      </c>
      <c r="E113" s="13" t="s">
        <v>637</v>
      </c>
      <c r="F113" s="13" t="s">
        <v>1348</v>
      </c>
      <c r="G113" s="13"/>
      <c r="H113" s="15">
        <v>227</v>
      </c>
      <c r="I113" s="17" t="s">
        <v>664</v>
      </c>
      <c r="J113" s="19">
        <f>IF(H113&gt;0,(H113*VLOOKUP(Lookups!$K$11,Lookups!$M$10:$P$40,4,0)/VLOOKUP(I113,Lookups!$M$10:$P$40,4,0)),"")</f>
        <v>247.26747347477476</v>
      </c>
      <c r="K113" s="15"/>
      <c r="L113" s="17"/>
      <c r="M113" s="19" t="str">
        <f>IF(K113&gt;0,(K113*VLOOKUP(Lookups!$K$11,Lookups!$M$10:$P$40,4,0)/VLOOKUP(L113,Lookups!$M$10:$P$40,4,0)),"")</f>
        <v/>
      </c>
      <c r="N113" s="15"/>
      <c r="O113" s="17"/>
      <c r="P113" s="19" t="str">
        <f>IF(N113&gt;0,(N113*VLOOKUP(Lookups!$K$11,Lookups!$M$10:$P$40,4,0)/VLOOKUP(O113,Lookups!$M$10:$P$40,4,0)),"")</f>
        <v/>
      </c>
      <c r="Q113" s="13" t="s">
        <v>2503</v>
      </c>
      <c r="R113" s="38" t="s">
        <v>621</v>
      </c>
      <c r="S113" s="13"/>
      <c r="T113" s="13"/>
      <c r="U113" s="120" t="s">
        <v>2506</v>
      </c>
      <c r="V113"/>
      <c r="W113"/>
      <c r="X113"/>
    </row>
    <row r="114" spans="1:24" s="40" customFormat="1" ht="60" hidden="1" customHeight="1" outlineLevel="2" x14ac:dyDescent="0.2">
      <c r="A114" s="37" t="s">
        <v>645</v>
      </c>
      <c r="B114" s="37" t="s">
        <v>636</v>
      </c>
      <c r="C114" s="37" t="s">
        <v>2137</v>
      </c>
      <c r="D114" s="45" t="s">
        <v>2027</v>
      </c>
      <c r="E114" s="13" t="s">
        <v>637</v>
      </c>
      <c r="F114" s="13" t="s">
        <v>667</v>
      </c>
      <c r="G114" s="13"/>
      <c r="H114" s="15">
        <v>33</v>
      </c>
      <c r="I114" s="17" t="s">
        <v>664</v>
      </c>
      <c r="J114" s="19">
        <f>IF(H114&gt;0,(H114*VLOOKUP(Lookups!$K$11,Lookups!$M$10:$P$40,4,0)/VLOOKUP(I114,Lookups!$M$10:$P$40,4,0)),"")</f>
        <v>35.946372795892366</v>
      </c>
      <c r="K114" s="15"/>
      <c r="L114" s="17"/>
      <c r="M114" s="19" t="str">
        <f>IF(K114&gt;0,(K114*VLOOKUP(Lookups!$K$11,Lookups!$M$10:$P$40,4,0)/VLOOKUP(L114,Lookups!$M$10:$P$40,4,0)),"")</f>
        <v/>
      </c>
      <c r="N114" s="15"/>
      <c r="O114" s="17"/>
      <c r="P114" s="19" t="str">
        <f>IF(N114&gt;0,(N114*VLOOKUP(Lookups!$K$11,Lookups!$M$10:$P$40,4,0)/VLOOKUP(O114,Lookups!$M$10:$P$40,4,0)),"")</f>
        <v/>
      </c>
      <c r="Q114" s="13" t="s">
        <v>2503</v>
      </c>
      <c r="R114" s="38" t="s">
        <v>621</v>
      </c>
      <c r="S114" s="13"/>
      <c r="T114" s="13"/>
      <c r="U114" s="120" t="s">
        <v>2506</v>
      </c>
      <c r="V114"/>
      <c r="W114"/>
      <c r="X114"/>
    </row>
    <row r="115" spans="1:24" s="40" customFormat="1" ht="60" hidden="1" customHeight="1" outlineLevel="2" x14ac:dyDescent="0.2">
      <c r="A115" s="37" t="s">
        <v>645</v>
      </c>
      <c r="B115" s="37" t="s">
        <v>636</v>
      </c>
      <c r="C115" s="37" t="s">
        <v>2138</v>
      </c>
      <c r="D115" s="45" t="s">
        <v>1825</v>
      </c>
      <c r="E115" s="13" t="s">
        <v>637</v>
      </c>
      <c r="F115" s="13" t="s">
        <v>737</v>
      </c>
      <c r="G115" s="13" t="s">
        <v>1418</v>
      </c>
      <c r="H115" s="15">
        <v>52</v>
      </c>
      <c r="I115" s="17" t="s">
        <v>664</v>
      </c>
      <c r="J115" s="19">
        <f>IF(H115&gt;0,(H115*VLOOKUP(Lookups!$K$11,Lookups!$M$10:$P$40,4,0)/VLOOKUP(I115,Lookups!$M$10:$P$40,4,0)),"")</f>
        <v>56.642769254133427</v>
      </c>
      <c r="K115" s="15"/>
      <c r="L115" s="17"/>
      <c r="M115" s="19" t="str">
        <f>IF(K115&gt;0,(K115*VLOOKUP(Lookups!$K$11,Lookups!$M$10:$P$40,4,0)/VLOOKUP(L115,Lookups!$M$10:$P$40,4,0)),"")</f>
        <v/>
      </c>
      <c r="N115" s="15"/>
      <c r="O115" s="17"/>
      <c r="P115" s="19" t="str">
        <f>IF(N115&gt;0,(N115*VLOOKUP(Lookups!$K$11,Lookups!$M$10:$P$40,4,0)/VLOOKUP(O115,Lookups!$M$10:$P$40,4,0)),"")</f>
        <v/>
      </c>
      <c r="Q115" s="13" t="s">
        <v>2503</v>
      </c>
      <c r="R115" s="38" t="s">
        <v>621</v>
      </c>
      <c r="S115" s="13"/>
      <c r="T115" s="13"/>
      <c r="U115" s="120" t="s">
        <v>2506</v>
      </c>
      <c r="V115"/>
      <c r="W115"/>
      <c r="X115"/>
    </row>
    <row r="116" spans="1:24" s="40" customFormat="1" ht="60" hidden="1" customHeight="1" outlineLevel="2" x14ac:dyDescent="0.2">
      <c r="A116" s="37" t="s">
        <v>645</v>
      </c>
      <c r="B116" s="37" t="s">
        <v>636</v>
      </c>
      <c r="C116" s="37" t="s">
        <v>2139</v>
      </c>
      <c r="D116" s="45" t="s">
        <v>1714</v>
      </c>
      <c r="E116" s="13" t="s">
        <v>637</v>
      </c>
      <c r="F116" s="13" t="s">
        <v>674</v>
      </c>
      <c r="G116" s="13"/>
      <c r="H116" s="15">
        <v>24</v>
      </c>
      <c r="I116" s="17" t="s">
        <v>664</v>
      </c>
      <c r="J116" s="19">
        <f>IF(H116&gt;0,(H116*VLOOKUP(Lookups!$K$11,Lookups!$M$10:$P$40,4,0)/VLOOKUP(I116,Lookups!$M$10:$P$40,4,0)),"")</f>
        <v>26.142816578830811</v>
      </c>
      <c r="K116" s="15"/>
      <c r="L116" s="17"/>
      <c r="M116" s="19" t="str">
        <f>IF(K116&gt;0,(K116*VLOOKUP(Lookups!$K$11,Lookups!$M$10:$P$40,4,0)/VLOOKUP(L116,Lookups!$M$10:$P$40,4,0)),"")</f>
        <v/>
      </c>
      <c r="N116" s="15"/>
      <c r="O116" s="17"/>
      <c r="P116" s="19" t="str">
        <f>IF(N116&gt;0,(N116*VLOOKUP(Lookups!$K$11,Lookups!$M$10:$P$40,4,0)/VLOOKUP(O116,Lookups!$M$10:$P$40,4,0)),"")</f>
        <v/>
      </c>
      <c r="Q116" s="13" t="s">
        <v>2503</v>
      </c>
      <c r="R116" s="38" t="s">
        <v>621</v>
      </c>
      <c r="S116" s="13"/>
      <c r="T116" s="13"/>
      <c r="U116" s="120" t="s">
        <v>2506</v>
      </c>
      <c r="V116"/>
      <c r="W116"/>
      <c r="X116"/>
    </row>
    <row r="117" spans="1:24" s="40" customFormat="1" ht="60" hidden="1" customHeight="1" outlineLevel="2" x14ac:dyDescent="0.2">
      <c r="A117" s="37" t="s">
        <v>645</v>
      </c>
      <c r="B117" s="37" t="s">
        <v>636</v>
      </c>
      <c r="C117" s="37" t="s">
        <v>2140</v>
      </c>
      <c r="D117" s="45" t="s">
        <v>1713</v>
      </c>
      <c r="E117" s="13" t="s">
        <v>637</v>
      </c>
      <c r="F117" s="13" t="s">
        <v>712</v>
      </c>
      <c r="G117" s="13"/>
      <c r="H117" s="15">
        <v>21</v>
      </c>
      <c r="I117" s="17" t="s">
        <v>664</v>
      </c>
      <c r="J117" s="19">
        <f>IF(H117&gt;0,(H117*VLOOKUP(Lookups!$K$11,Lookups!$M$10:$P$40,4,0)/VLOOKUP(I117,Lookups!$M$10:$P$40,4,0)),"")</f>
        <v>22.874964506476957</v>
      </c>
      <c r="K117" s="15"/>
      <c r="L117" s="17"/>
      <c r="M117" s="19" t="str">
        <f>IF(K117&gt;0,(K117*VLOOKUP(Lookups!$K$11,Lookups!$M$10:$P$40,4,0)/VLOOKUP(L117,Lookups!$M$10:$P$40,4,0)),"")</f>
        <v/>
      </c>
      <c r="N117" s="15"/>
      <c r="O117" s="17"/>
      <c r="P117" s="19" t="str">
        <f>IF(N117&gt;0,(N117*VLOOKUP(Lookups!$K$11,Lookups!$M$10:$P$40,4,0)/VLOOKUP(O117,Lookups!$M$10:$P$40,4,0)),"")</f>
        <v/>
      </c>
      <c r="Q117" s="13" t="s">
        <v>2503</v>
      </c>
      <c r="R117" s="38" t="s">
        <v>621</v>
      </c>
      <c r="S117" s="13"/>
      <c r="T117" s="13"/>
      <c r="U117" s="120" t="s">
        <v>2506</v>
      </c>
      <c r="V117"/>
      <c r="W117"/>
      <c r="X117"/>
    </row>
    <row r="118" spans="1:24" s="40" customFormat="1" ht="60" hidden="1" customHeight="1" outlineLevel="1" x14ac:dyDescent="0.2">
      <c r="A118" s="46" t="s">
        <v>645</v>
      </c>
      <c r="B118" s="46" t="s">
        <v>636</v>
      </c>
      <c r="C118" s="46" t="s">
        <v>2141</v>
      </c>
      <c r="D118" s="46" t="s">
        <v>1791</v>
      </c>
      <c r="E118" s="13" t="s">
        <v>637</v>
      </c>
      <c r="F118" s="13" t="s">
        <v>614</v>
      </c>
      <c r="G118" s="13"/>
      <c r="H118" s="15">
        <v>237</v>
      </c>
      <c r="I118" s="17" t="s">
        <v>664</v>
      </c>
      <c r="J118" s="19">
        <f>IF(H118&gt;0,(H118*VLOOKUP(Lookups!$K$11,Lookups!$M$10:$P$40,4,0)/VLOOKUP(I118,Lookups!$M$10:$P$40,4,0)),"")</f>
        <v>258.16031371595426</v>
      </c>
      <c r="K118" s="15">
        <v>3719</v>
      </c>
      <c r="L118" s="17" t="s">
        <v>664</v>
      </c>
      <c r="M118" s="19">
        <f>IF(K118&gt;0,(K118*VLOOKUP(Lookups!$K$11,Lookups!$M$10:$P$40,4,0)/VLOOKUP(L118,Lookups!$M$10:$P$40,4,0)),"")</f>
        <v>4051.0472856946581</v>
      </c>
      <c r="N118" s="15">
        <v>994</v>
      </c>
      <c r="O118" s="17" t="s">
        <v>664</v>
      </c>
      <c r="P118" s="19">
        <f>IF(N118&gt;0,(N118*VLOOKUP(Lookups!$K$11,Lookups!$M$10:$P$40,4,0)/VLOOKUP(O118,Lookups!$M$10:$P$40,4,0)),"")</f>
        <v>1082.7483199732428</v>
      </c>
      <c r="Q118" s="13" t="s">
        <v>2503</v>
      </c>
      <c r="R118" s="38" t="s">
        <v>621</v>
      </c>
      <c r="S118" s="13" t="s">
        <v>160</v>
      </c>
      <c r="T118" s="13" t="s">
        <v>1912</v>
      </c>
      <c r="U118" s="13" t="s">
        <v>2504</v>
      </c>
      <c r="V118"/>
      <c r="W118"/>
      <c r="X118"/>
    </row>
    <row r="119" spans="1:24" s="40" customFormat="1" ht="60" hidden="1" customHeight="1" outlineLevel="2" x14ac:dyDescent="0.2">
      <c r="A119" s="37" t="s">
        <v>645</v>
      </c>
      <c r="B119" s="37" t="s">
        <v>636</v>
      </c>
      <c r="C119" s="37" t="s">
        <v>2142</v>
      </c>
      <c r="D119" s="45" t="s">
        <v>2007</v>
      </c>
      <c r="E119" s="13" t="s">
        <v>637</v>
      </c>
      <c r="F119" s="13" t="s">
        <v>1348</v>
      </c>
      <c r="G119" s="13"/>
      <c r="H119" s="15">
        <v>96</v>
      </c>
      <c r="I119" s="17" t="s">
        <v>664</v>
      </c>
      <c r="J119" s="19">
        <f>IF(H119&gt;0,(H119*VLOOKUP(Lookups!$K$11,Lookups!$M$10:$P$40,4,0)/VLOOKUP(I119,Lookups!$M$10:$P$40,4,0)),"")</f>
        <v>104.57126631532324</v>
      </c>
      <c r="K119" s="15"/>
      <c r="L119" s="17"/>
      <c r="M119" s="19" t="str">
        <f>IF(K119&gt;0,(K119*VLOOKUP(Lookups!$K$11,Lookups!$M$10:$P$40,4,0)/VLOOKUP(L119,Lookups!$M$10:$P$40,4,0)),"")</f>
        <v/>
      </c>
      <c r="N119" s="15"/>
      <c r="O119" s="17"/>
      <c r="P119" s="19" t="str">
        <f>IF(N119&gt;0,(N119*VLOOKUP(Lookups!$K$11,Lookups!$M$10:$P$40,4,0)/VLOOKUP(O119,Lookups!$M$10:$P$40,4,0)),"")</f>
        <v/>
      </c>
      <c r="Q119" s="13" t="s">
        <v>2503</v>
      </c>
      <c r="R119" s="38" t="s">
        <v>621</v>
      </c>
      <c r="S119" s="13"/>
      <c r="T119" s="13"/>
      <c r="U119" s="120" t="s">
        <v>2506</v>
      </c>
      <c r="V119"/>
      <c r="W119"/>
      <c r="X119"/>
    </row>
    <row r="120" spans="1:24" s="40" customFormat="1" ht="60" hidden="1" customHeight="1" outlineLevel="2" x14ac:dyDescent="0.2">
      <c r="A120" s="37" t="s">
        <v>645</v>
      </c>
      <c r="B120" s="37" t="s">
        <v>636</v>
      </c>
      <c r="C120" s="37" t="s">
        <v>2143</v>
      </c>
      <c r="D120" s="45" t="s">
        <v>1806</v>
      </c>
      <c r="E120" s="13" t="s">
        <v>637</v>
      </c>
      <c r="F120" s="13" t="s">
        <v>667</v>
      </c>
      <c r="G120" s="13"/>
      <c r="H120" s="15">
        <v>34</v>
      </c>
      <c r="I120" s="17" t="s">
        <v>664</v>
      </c>
      <c r="J120" s="19">
        <f>IF(H120&gt;0,(H120*VLOOKUP(Lookups!$K$11,Lookups!$M$10:$P$40,4,0)/VLOOKUP(I120,Lookups!$M$10:$P$40,4,0)),"")</f>
        <v>37.035656820010317</v>
      </c>
      <c r="K120" s="15"/>
      <c r="L120" s="17"/>
      <c r="M120" s="19" t="str">
        <f>IF(K120&gt;0,(K120*VLOOKUP(Lookups!$K$11,Lookups!$M$10:$P$40,4,0)/VLOOKUP(L120,Lookups!$M$10:$P$40,4,0)),"")</f>
        <v/>
      </c>
      <c r="N120" s="15"/>
      <c r="O120" s="17"/>
      <c r="P120" s="19" t="str">
        <f>IF(N120&gt;0,(N120*VLOOKUP(Lookups!$K$11,Lookups!$M$10:$P$40,4,0)/VLOOKUP(O120,Lookups!$M$10:$P$40,4,0)),"")</f>
        <v/>
      </c>
      <c r="Q120" s="13" t="s">
        <v>2503</v>
      </c>
      <c r="R120" s="38" t="s">
        <v>621</v>
      </c>
      <c r="S120" s="13"/>
      <c r="T120" s="13"/>
      <c r="U120" s="120" t="s">
        <v>2506</v>
      </c>
      <c r="V120"/>
      <c r="W120"/>
      <c r="X120"/>
    </row>
    <row r="121" spans="1:24" s="40" customFormat="1" ht="60" hidden="1" customHeight="1" outlineLevel="2" x14ac:dyDescent="0.2">
      <c r="A121" s="37" t="s">
        <v>645</v>
      </c>
      <c r="B121" s="37" t="s">
        <v>636</v>
      </c>
      <c r="C121" s="37" t="s">
        <v>2144</v>
      </c>
      <c r="D121" s="45" t="s">
        <v>1856</v>
      </c>
      <c r="E121" s="13" t="s">
        <v>637</v>
      </c>
      <c r="F121" s="13" t="s">
        <v>737</v>
      </c>
      <c r="G121" s="13" t="s">
        <v>1418</v>
      </c>
      <c r="H121" s="15">
        <v>23</v>
      </c>
      <c r="I121" s="17" t="s">
        <v>664</v>
      </c>
      <c r="J121" s="19">
        <f>IF(H121&gt;0,(H121*VLOOKUP(Lookups!$K$11,Lookups!$M$10:$P$40,4,0)/VLOOKUP(I121,Lookups!$M$10:$P$40,4,0)),"")</f>
        <v>25.053532554712859</v>
      </c>
      <c r="K121" s="15"/>
      <c r="L121" s="17"/>
      <c r="M121" s="19" t="str">
        <f>IF(K121&gt;0,(K121*VLOOKUP(Lookups!$K$11,Lookups!$M$10:$P$40,4,0)/VLOOKUP(L121,Lookups!$M$10:$P$40,4,0)),"")</f>
        <v/>
      </c>
      <c r="N121" s="15"/>
      <c r="O121" s="17"/>
      <c r="P121" s="19" t="str">
        <f>IF(N121&gt;0,(N121*VLOOKUP(Lookups!$K$11,Lookups!$M$10:$P$40,4,0)/VLOOKUP(O121,Lookups!$M$10:$P$40,4,0)),"")</f>
        <v/>
      </c>
      <c r="Q121" s="13" t="s">
        <v>2503</v>
      </c>
      <c r="R121" s="38" t="s">
        <v>621</v>
      </c>
      <c r="S121" s="13"/>
      <c r="T121" s="13"/>
      <c r="U121" s="120" t="s">
        <v>2506</v>
      </c>
      <c r="V121"/>
      <c r="W121"/>
      <c r="X121"/>
    </row>
    <row r="122" spans="1:24" s="40" customFormat="1" ht="60" hidden="1" customHeight="1" outlineLevel="2" x14ac:dyDescent="0.2">
      <c r="A122" s="37" t="s">
        <v>645</v>
      </c>
      <c r="B122" s="37" t="s">
        <v>636</v>
      </c>
      <c r="C122" s="37" t="s">
        <v>2145</v>
      </c>
      <c r="D122" s="45" t="s">
        <v>1842</v>
      </c>
      <c r="E122" s="13" t="s">
        <v>637</v>
      </c>
      <c r="F122" s="13" t="s">
        <v>674</v>
      </c>
      <c r="G122" s="13"/>
      <c r="H122" s="15">
        <v>75</v>
      </c>
      <c r="I122" s="17" t="s">
        <v>664</v>
      </c>
      <c r="J122" s="19">
        <f>IF(H122&gt;0,(H122*VLOOKUP(Lookups!$K$11,Lookups!$M$10:$P$40,4,0)/VLOOKUP(I122,Lookups!$M$10:$P$40,4,0)),"")</f>
        <v>81.696301808846286</v>
      </c>
      <c r="K122" s="15"/>
      <c r="L122" s="17"/>
      <c r="M122" s="19" t="str">
        <f>IF(K122&gt;0,(K122*VLOOKUP(Lookups!$K$11,Lookups!$M$10:$P$40,4,0)/VLOOKUP(L122,Lookups!$M$10:$P$40,4,0)),"")</f>
        <v/>
      </c>
      <c r="N122" s="15"/>
      <c r="O122" s="17"/>
      <c r="P122" s="19" t="str">
        <f>IF(N122&gt;0,(N122*VLOOKUP(Lookups!$K$11,Lookups!$M$10:$P$40,4,0)/VLOOKUP(O122,Lookups!$M$10:$P$40,4,0)),"")</f>
        <v/>
      </c>
      <c r="Q122" s="13" t="s">
        <v>2503</v>
      </c>
      <c r="R122" s="38" t="s">
        <v>621</v>
      </c>
      <c r="S122" s="13"/>
      <c r="T122" s="13"/>
      <c r="U122" s="120" t="s">
        <v>2506</v>
      </c>
      <c r="V122"/>
      <c r="W122"/>
      <c r="X122"/>
    </row>
    <row r="123" spans="1:24" s="40" customFormat="1" ht="60" hidden="1" customHeight="1" outlineLevel="2" x14ac:dyDescent="0.2">
      <c r="A123" s="37" t="s">
        <v>645</v>
      </c>
      <c r="B123" s="37" t="s">
        <v>636</v>
      </c>
      <c r="C123" s="37" t="s">
        <v>2146</v>
      </c>
      <c r="D123" s="45" t="s">
        <v>1716</v>
      </c>
      <c r="E123" s="13" t="s">
        <v>637</v>
      </c>
      <c r="F123" s="13" t="s">
        <v>712</v>
      </c>
      <c r="G123" s="13"/>
      <c r="H123" s="15">
        <v>9</v>
      </c>
      <c r="I123" s="17" t="s">
        <v>664</v>
      </c>
      <c r="J123" s="19">
        <f>IF(H123&gt;0,(H123*VLOOKUP(Lookups!$K$11,Lookups!$M$10:$P$40,4,0)/VLOOKUP(I123,Lookups!$M$10:$P$40,4,0)),"")</f>
        <v>9.8035562170615531</v>
      </c>
      <c r="K123" s="15"/>
      <c r="L123" s="17"/>
      <c r="M123" s="19" t="str">
        <f>IF(K123&gt;0,(K123*VLOOKUP(Lookups!$K$11,Lookups!$M$10:$P$40,4,0)/VLOOKUP(L123,Lookups!$M$10:$P$40,4,0)),"")</f>
        <v/>
      </c>
      <c r="N123" s="15"/>
      <c r="O123" s="17"/>
      <c r="P123" s="19" t="str">
        <f>IF(N123&gt;0,(N123*VLOOKUP(Lookups!$K$11,Lookups!$M$10:$P$40,4,0)/VLOOKUP(O123,Lookups!$M$10:$P$40,4,0)),"")</f>
        <v/>
      </c>
      <c r="Q123" s="13" t="s">
        <v>2503</v>
      </c>
      <c r="R123" s="38" t="s">
        <v>621</v>
      </c>
      <c r="S123" s="13"/>
      <c r="T123" s="13"/>
      <c r="U123" s="120" t="s">
        <v>2506</v>
      </c>
      <c r="V123"/>
      <c r="W123"/>
      <c r="X123"/>
    </row>
    <row r="124" spans="1:24" s="40" customFormat="1" ht="60" hidden="1" customHeight="1" outlineLevel="1" x14ac:dyDescent="0.2">
      <c r="A124" s="46" t="s">
        <v>645</v>
      </c>
      <c r="B124" s="46" t="s">
        <v>636</v>
      </c>
      <c r="C124" s="46" t="s">
        <v>2147</v>
      </c>
      <c r="D124" s="46" t="s">
        <v>1792</v>
      </c>
      <c r="E124" s="13" t="s">
        <v>637</v>
      </c>
      <c r="F124" s="13" t="s">
        <v>614</v>
      </c>
      <c r="G124" s="13"/>
      <c r="H124" s="15">
        <v>60</v>
      </c>
      <c r="I124" s="17" t="s">
        <v>664</v>
      </c>
      <c r="J124" s="19">
        <f>IF(H124&gt;0,(H124*VLOOKUP(Lookups!$K$11,Lookups!$M$10:$P$40,4,0)/VLOOKUP(I124,Lookups!$M$10:$P$40,4,0)),"")</f>
        <v>65.357041447077023</v>
      </c>
      <c r="K124" s="15">
        <v>641</v>
      </c>
      <c r="L124" s="17" t="s">
        <v>664</v>
      </c>
      <c r="M124" s="19">
        <f>IF(K124&gt;0,(K124*VLOOKUP(Lookups!$K$11,Lookups!$M$10:$P$40,4,0)/VLOOKUP(L124,Lookups!$M$10:$P$40,4,0)),"")</f>
        <v>698.23105945960629</v>
      </c>
      <c r="N124" s="15">
        <v>331</v>
      </c>
      <c r="O124" s="17" t="s">
        <v>664</v>
      </c>
      <c r="P124" s="19">
        <f>IF(N124&gt;0,(N124*VLOOKUP(Lookups!$K$11,Lookups!$M$10:$P$40,4,0)/VLOOKUP(O124,Lookups!$M$10:$P$40,4,0)),"")</f>
        <v>360.55301198304159</v>
      </c>
      <c r="Q124" s="13" t="s">
        <v>2503</v>
      </c>
      <c r="R124" s="38" t="s">
        <v>621</v>
      </c>
      <c r="S124" s="13" t="s">
        <v>159</v>
      </c>
      <c r="T124" s="13" t="s">
        <v>1912</v>
      </c>
      <c r="U124" s="13" t="s">
        <v>2504</v>
      </c>
      <c r="V124"/>
      <c r="W124"/>
      <c r="X124"/>
    </row>
    <row r="125" spans="1:24" s="40" customFormat="1" ht="60" hidden="1" customHeight="1" outlineLevel="2" x14ac:dyDescent="0.2">
      <c r="A125" s="37" t="s">
        <v>645</v>
      </c>
      <c r="B125" s="37" t="s">
        <v>636</v>
      </c>
      <c r="C125" s="37" t="s">
        <v>2148</v>
      </c>
      <c r="D125" s="45" t="s">
        <v>2008</v>
      </c>
      <c r="E125" s="13" t="s">
        <v>637</v>
      </c>
      <c r="F125" s="13" t="s">
        <v>1348</v>
      </c>
      <c r="G125" s="13"/>
      <c r="H125" s="15">
        <v>37</v>
      </c>
      <c r="I125" s="17" t="s">
        <v>664</v>
      </c>
      <c r="J125" s="19">
        <f>IF(H125&gt;0,(H125*VLOOKUP(Lookups!$K$11,Lookups!$M$10:$P$40,4,0)/VLOOKUP(I125,Lookups!$M$10:$P$40,4,0)),"")</f>
        <v>40.303508892364171</v>
      </c>
      <c r="K125" s="15"/>
      <c r="L125" s="17"/>
      <c r="M125" s="19" t="str">
        <f>IF(K125&gt;0,(K125*VLOOKUP(Lookups!$K$11,Lookups!$M$10:$P$40,4,0)/VLOOKUP(L125,Lookups!$M$10:$P$40,4,0)),"")</f>
        <v/>
      </c>
      <c r="N125" s="15"/>
      <c r="O125" s="17"/>
      <c r="P125" s="19" t="str">
        <f>IF(N125&gt;0,(N125*VLOOKUP(Lookups!$K$11,Lookups!$M$10:$P$40,4,0)/VLOOKUP(O125,Lookups!$M$10:$P$40,4,0)),"")</f>
        <v/>
      </c>
      <c r="Q125" s="13" t="s">
        <v>2503</v>
      </c>
      <c r="R125" s="38" t="s">
        <v>621</v>
      </c>
      <c r="S125" s="13"/>
      <c r="T125" s="13"/>
      <c r="U125" s="120" t="s">
        <v>2506</v>
      </c>
      <c r="V125"/>
      <c r="W125"/>
      <c r="X125"/>
    </row>
    <row r="126" spans="1:24" s="40" customFormat="1" ht="60" hidden="1" customHeight="1" outlineLevel="2" x14ac:dyDescent="0.2">
      <c r="A126" s="37" t="s">
        <v>645</v>
      </c>
      <c r="B126" s="37" t="s">
        <v>636</v>
      </c>
      <c r="C126" s="37" t="s">
        <v>2149</v>
      </c>
      <c r="D126" s="45" t="s">
        <v>1807</v>
      </c>
      <c r="E126" s="13" t="s">
        <v>637</v>
      </c>
      <c r="F126" s="13" t="s">
        <v>667</v>
      </c>
      <c r="G126" s="13"/>
      <c r="H126" s="15">
        <v>7</v>
      </c>
      <c r="I126" s="17" t="s">
        <v>664</v>
      </c>
      <c r="J126" s="19">
        <f>IF(H126&gt;0,(H126*VLOOKUP(Lookups!$K$11,Lookups!$M$10:$P$40,4,0)/VLOOKUP(I126,Lookups!$M$10:$P$40,4,0)),"")</f>
        <v>7.624988168825654</v>
      </c>
      <c r="K126" s="15"/>
      <c r="L126" s="17"/>
      <c r="M126" s="19" t="str">
        <f>IF(K126&gt;0,(K126*VLOOKUP(Lookups!$K$11,Lookups!$M$10:$P$40,4,0)/VLOOKUP(L126,Lookups!$M$10:$P$40,4,0)),"")</f>
        <v/>
      </c>
      <c r="N126" s="15"/>
      <c r="O126" s="17"/>
      <c r="P126" s="19" t="str">
        <f>IF(N126&gt;0,(N126*VLOOKUP(Lookups!$K$11,Lookups!$M$10:$P$40,4,0)/VLOOKUP(O126,Lookups!$M$10:$P$40,4,0)),"")</f>
        <v/>
      </c>
      <c r="Q126" s="13" t="s">
        <v>2503</v>
      </c>
      <c r="R126" s="38" t="s">
        <v>621</v>
      </c>
      <c r="S126" s="13"/>
      <c r="T126" s="13"/>
      <c r="U126" s="120" t="s">
        <v>2506</v>
      </c>
      <c r="V126"/>
      <c r="W126"/>
      <c r="X126"/>
    </row>
    <row r="127" spans="1:24" s="40" customFormat="1" ht="60" hidden="1" customHeight="1" outlineLevel="2" x14ac:dyDescent="0.2">
      <c r="A127" s="37" t="s">
        <v>645</v>
      </c>
      <c r="B127" s="37" t="s">
        <v>636</v>
      </c>
      <c r="C127" s="37" t="s">
        <v>2150</v>
      </c>
      <c r="D127" s="45" t="s">
        <v>1826</v>
      </c>
      <c r="E127" s="13" t="s">
        <v>637</v>
      </c>
      <c r="F127" s="13" t="s">
        <v>737</v>
      </c>
      <c r="G127" s="13" t="s">
        <v>1418</v>
      </c>
      <c r="H127" s="15">
        <v>8</v>
      </c>
      <c r="I127" s="17" t="s">
        <v>664</v>
      </c>
      <c r="J127" s="19">
        <f>IF(H127&gt;0,(H127*VLOOKUP(Lookups!$K$11,Lookups!$M$10:$P$40,4,0)/VLOOKUP(I127,Lookups!$M$10:$P$40,4,0)),"")</f>
        <v>8.7142721929436036</v>
      </c>
      <c r="K127" s="15"/>
      <c r="L127" s="17"/>
      <c r="M127" s="19" t="str">
        <f>IF(K127&gt;0,(K127*VLOOKUP(Lookups!$K$11,Lookups!$M$10:$P$40,4,0)/VLOOKUP(L127,Lookups!$M$10:$P$40,4,0)),"")</f>
        <v/>
      </c>
      <c r="N127" s="15"/>
      <c r="O127" s="17"/>
      <c r="P127" s="19" t="str">
        <f>IF(N127&gt;0,(N127*VLOOKUP(Lookups!$K$11,Lookups!$M$10:$P$40,4,0)/VLOOKUP(O127,Lookups!$M$10:$P$40,4,0)),"")</f>
        <v/>
      </c>
      <c r="Q127" s="13" t="s">
        <v>2503</v>
      </c>
      <c r="R127" s="38" t="s">
        <v>621</v>
      </c>
      <c r="S127" s="13"/>
      <c r="T127" s="13"/>
      <c r="U127" s="120" t="s">
        <v>2506</v>
      </c>
      <c r="V127"/>
      <c r="W127"/>
      <c r="X127"/>
    </row>
    <row r="128" spans="1:24" s="40" customFormat="1" ht="60" hidden="1" customHeight="1" outlineLevel="2" x14ac:dyDescent="0.2">
      <c r="A128" s="37" t="s">
        <v>645</v>
      </c>
      <c r="B128" s="37" t="s">
        <v>636</v>
      </c>
      <c r="C128" s="37" t="s">
        <v>2151</v>
      </c>
      <c r="D128" s="45" t="s">
        <v>1843</v>
      </c>
      <c r="E128" s="13" t="s">
        <v>637</v>
      </c>
      <c r="F128" s="13" t="s">
        <v>674</v>
      </c>
      <c r="G128" s="13"/>
      <c r="H128" s="15">
        <v>5</v>
      </c>
      <c r="I128" s="17" t="s">
        <v>664</v>
      </c>
      <c r="J128" s="19">
        <f>IF(H128&gt;0,(H128*VLOOKUP(Lookups!$K$11,Lookups!$M$10:$P$40,4,0)/VLOOKUP(I128,Lookups!$M$10:$P$40,4,0)),"")</f>
        <v>5.4464201205897522</v>
      </c>
      <c r="K128" s="15"/>
      <c r="L128" s="17"/>
      <c r="M128" s="19" t="str">
        <f>IF(K128&gt;0,(K128*VLOOKUP(Lookups!$K$11,Lookups!$M$10:$P$40,4,0)/VLOOKUP(L128,Lookups!$M$10:$P$40,4,0)),"")</f>
        <v/>
      </c>
      <c r="N128" s="15"/>
      <c r="O128" s="17"/>
      <c r="P128" s="19" t="str">
        <f>IF(N128&gt;0,(N128*VLOOKUP(Lookups!$K$11,Lookups!$M$10:$P$40,4,0)/VLOOKUP(O128,Lookups!$M$10:$P$40,4,0)),"")</f>
        <v/>
      </c>
      <c r="Q128" s="13" t="s">
        <v>2503</v>
      </c>
      <c r="R128" s="38" t="s">
        <v>621</v>
      </c>
      <c r="S128" s="13"/>
      <c r="T128" s="13"/>
      <c r="U128" s="120" t="s">
        <v>2506</v>
      </c>
      <c r="V128"/>
      <c r="W128"/>
      <c r="X128"/>
    </row>
    <row r="129" spans="1:24" s="40" customFormat="1" ht="60" hidden="1" customHeight="1" outlineLevel="2" x14ac:dyDescent="0.2">
      <c r="A129" s="37" t="s">
        <v>645</v>
      </c>
      <c r="B129" s="37" t="s">
        <v>636</v>
      </c>
      <c r="C129" s="37" t="s">
        <v>2152</v>
      </c>
      <c r="D129" s="45" t="s">
        <v>1717</v>
      </c>
      <c r="E129" s="13" t="s">
        <v>637</v>
      </c>
      <c r="F129" s="13" t="s">
        <v>712</v>
      </c>
      <c r="G129" s="13"/>
      <c r="H129" s="15">
        <v>4</v>
      </c>
      <c r="I129" s="17" t="s">
        <v>664</v>
      </c>
      <c r="J129" s="19">
        <f>IF(H129&gt;0,(H129*VLOOKUP(Lookups!$K$11,Lookups!$M$10:$P$40,4,0)/VLOOKUP(I129,Lookups!$M$10:$P$40,4,0)),"")</f>
        <v>4.3571360964718018</v>
      </c>
      <c r="K129" s="15"/>
      <c r="L129" s="17"/>
      <c r="M129" s="19" t="str">
        <f>IF(K129&gt;0,(K129*VLOOKUP(Lookups!$K$11,Lookups!$M$10:$P$40,4,0)/VLOOKUP(L129,Lookups!$M$10:$P$40,4,0)),"")</f>
        <v/>
      </c>
      <c r="N129" s="15"/>
      <c r="O129" s="17"/>
      <c r="P129" s="19" t="str">
        <f>IF(N129&gt;0,(N129*VLOOKUP(Lookups!$K$11,Lookups!$M$10:$P$40,4,0)/VLOOKUP(O129,Lookups!$M$10:$P$40,4,0)),"")</f>
        <v/>
      </c>
      <c r="Q129" s="13" t="s">
        <v>2503</v>
      </c>
      <c r="R129" s="38" t="s">
        <v>621</v>
      </c>
      <c r="S129" s="13"/>
      <c r="T129" s="13"/>
      <c r="U129" s="120" t="s">
        <v>2506</v>
      </c>
      <c r="V129"/>
      <c r="W129"/>
      <c r="X129"/>
    </row>
    <row r="130" spans="1:24" s="40" customFormat="1" ht="60" hidden="1" customHeight="1" outlineLevel="1" x14ac:dyDescent="0.2">
      <c r="A130" s="46" t="s">
        <v>645</v>
      </c>
      <c r="B130" s="46" t="s">
        <v>636</v>
      </c>
      <c r="C130" s="46" t="s">
        <v>2153</v>
      </c>
      <c r="D130" s="46" t="s">
        <v>1793</v>
      </c>
      <c r="E130" s="13" t="s">
        <v>637</v>
      </c>
      <c r="F130" s="13" t="s">
        <v>614</v>
      </c>
      <c r="G130" s="13"/>
      <c r="H130" s="15">
        <v>78</v>
      </c>
      <c r="I130" s="17" t="s">
        <v>664</v>
      </c>
      <c r="J130" s="19">
        <f>IF(H130&gt;0,(H130*VLOOKUP(Lookups!$K$11,Lookups!$M$10:$P$40,4,0)/VLOOKUP(I130,Lookups!$M$10:$P$40,4,0)),"")</f>
        <v>84.964153881200133</v>
      </c>
      <c r="K130" s="15">
        <v>297</v>
      </c>
      <c r="L130" s="17" t="s">
        <v>664</v>
      </c>
      <c r="M130" s="19">
        <f>IF(K130&gt;0,(K130*VLOOKUP(Lookups!$K$11,Lookups!$M$10:$P$40,4,0)/VLOOKUP(L130,Lookups!$M$10:$P$40,4,0)),"")</f>
        <v>323.51735516303125</v>
      </c>
      <c r="N130" s="15">
        <v>241</v>
      </c>
      <c r="O130" s="17" t="s">
        <v>664</v>
      </c>
      <c r="P130" s="19">
        <f>IF(N130&gt;0,(N130*VLOOKUP(Lookups!$K$11,Lookups!$M$10:$P$40,4,0)/VLOOKUP(O130,Lookups!$M$10:$P$40,4,0)),"")</f>
        <v>262.51744981242604</v>
      </c>
      <c r="Q130" s="13" t="s">
        <v>2503</v>
      </c>
      <c r="R130" s="38" t="s">
        <v>621</v>
      </c>
      <c r="S130" s="13" t="s">
        <v>161</v>
      </c>
      <c r="T130" s="13" t="s">
        <v>1912</v>
      </c>
      <c r="U130" s="13" t="s">
        <v>2504</v>
      </c>
      <c r="V130"/>
      <c r="W130"/>
      <c r="X130"/>
    </row>
    <row r="131" spans="1:24" s="40" customFormat="1" ht="60" hidden="1" customHeight="1" outlineLevel="2" x14ac:dyDescent="0.2">
      <c r="A131" s="37" t="s">
        <v>645</v>
      </c>
      <c r="B131" s="37" t="s">
        <v>636</v>
      </c>
      <c r="C131" s="37" t="s">
        <v>2154</v>
      </c>
      <c r="D131" s="45" t="s">
        <v>2009</v>
      </c>
      <c r="E131" s="13" t="s">
        <v>637</v>
      </c>
      <c r="F131" s="13" t="s">
        <v>1348</v>
      </c>
      <c r="G131" s="13"/>
      <c r="H131" s="15">
        <v>21</v>
      </c>
      <c r="I131" s="17" t="s">
        <v>664</v>
      </c>
      <c r="J131" s="19">
        <f>IF(H131&gt;0,(H131*VLOOKUP(Lookups!$K$11,Lookups!$M$10:$P$40,4,0)/VLOOKUP(I131,Lookups!$M$10:$P$40,4,0)),"")</f>
        <v>22.874964506476957</v>
      </c>
      <c r="K131" s="15"/>
      <c r="L131" s="17"/>
      <c r="M131" s="19" t="str">
        <f>IF(K131&gt;0,(K131*VLOOKUP(Lookups!$K$11,Lookups!$M$10:$P$40,4,0)/VLOOKUP(L131,Lookups!$M$10:$P$40,4,0)),"")</f>
        <v/>
      </c>
      <c r="N131" s="15"/>
      <c r="O131" s="17"/>
      <c r="P131" s="19" t="str">
        <f>IF(N131&gt;0,(N131*VLOOKUP(Lookups!$K$11,Lookups!$M$10:$P$40,4,0)/VLOOKUP(O131,Lookups!$M$10:$P$40,4,0)),"")</f>
        <v/>
      </c>
      <c r="Q131" s="13" t="s">
        <v>2503</v>
      </c>
      <c r="R131" s="38" t="s">
        <v>621</v>
      </c>
      <c r="S131" s="13"/>
      <c r="T131" s="13"/>
      <c r="U131" s="120" t="s">
        <v>2506</v>
      </c>
      <c r="V131"/>
      <c r="W131"/>
      <c r="X131"/>
    </row>
    <row r="132" spans="1:24" s="40" customFormat="1" ht="60" hidden="1" customHeight="1" outlineLevel="2" x14ac:dyDescent="0.2">
      <c r="A132" s="37" t="s">
        <v>645</v>
      </c>
      <c r="B132" s="37" t="s">
        <v>636</v>
      </c>
      <c r="C132" s="37" t="s">
        <v>2155</v>
      </c>
      <c r="D132" s="45" t="s">
        <v>1808</v>
      </c>
      <c r="E132" s="13" t="s">
        <v>637</v>
      </c>
      <c r="F132" s="13" t="s">
        <v>667</v>
      </c>
      <c r="G132" s="13"/>
      <c r="H132" s="15">
        <v>15</v>
      </c>
      <c r="I132" s="17" t="s">
        <v>664</v>
      </c>
      <c r="J132" s="19">
        <f>IF(H132&gt;0,(H132*VLOOKUP(Lookups!$K$11,Lookups!$M$10:$P$40,4,0)/VLOOKUP(I132,Lookups!$M$10:$P$40,4,0)),"")</f>
        <v>16.339260361769256</v>
      </c>
      <c r="K132" s="15"/>
      <c r="L132" s="17"/>
      <c r="M132" s="19" t="str">
        <f>IF(K132&gt;0,(K132*VLOOKUP(Lookups!$K$11,Lookups!$M$10:$P$40,4,0)/VLOOKUP(L132,Lookups!$M$10:$P$40,4,0)),"")</f>
        <v/>
      </c>
      <c r="N132" s="15"/>
      <c r="O132" s="17"/>
      <c r="P132" s="19" t="str">
        <f>IF(N132&gt;0,(N132*VLOOKUP(Lookups!$K$11,Lookups!$M$10:$P$40,4,0)/VLOOKUP(O132,Lookups!$M$10:$P$40,4,0)),"")</f>
        <v/>
      </c>
      <c r="Q132" s="13" t="s">
        <v>2503</v>
      </c>
      <c r="R132" s="38" t="s">
        <v>621</v>
      </c>
      <c r="S132" s="13"/>
      <c r="T132" s="13"/>
      <c r="U132" s="120" t="s">
        <v>2506</v>
      </c>
      <c r="V132"/>
      <c r="W132"/>
      <c r="X132"/>
    </row>
    <row r="133" spans="1:24" s="40" customFormat="1" ht="60" hidden="1" customHeight="1" outlineLevel="2" x14ac:dyDescent="0.2">
      <c r="A133" s="37" t="s">
        <v>645</v>
      </c>
      <c r="B133" s="37" t="s">
        <v>636</v>
      </c>
      <c r="C133" s="37" t="s">
        <v>2156</v>
      </c>
      <c r="D133" s="45" t="s">
        <v>1827</v>
      </c>
      <c r="E133" s="13" t="s">
        <v>637</v>
      </c>
      <c r="F133" s="13" t="s">
        <v>737</v>
      </c>
      <c r="G133" s="13" t="s">
        <v>1418</v>
      </c>
      <c r="H133" s="15">
        <v>5</v>
      </c>
      <c r="I133" s="17" t="s">
        <v>664</v>
      </c>
      <c r="J133" s="19">
        <f>IF(H133&gt;0,(H133*VLOOKUP(Lookups!$K$11,Lookups!$M$10:$P$40,4,0)/VLOOKUP(I133,Lookups!$M$10:$P$40,4,0)),"")</f>
        <v>5.4464201205897522</v>
      </c>
      <c r="K133" s="15"/>
      <c r="L133" s="17"/>
      <c r="M133" s="19" t="str">
        <f>IF(K133&gt;0,(K133*VLOOKUP(Lookups!$K$11,Lookups!$M$10:$P$40,4,0)/VLOOKUP(L133,Lookups!$M$10:$P$40,4,0)),"")</f>
        <v/>
      </c>
      <c r="N133" s="15"/>
      <c r="O133" s="17"/>
      <c r="P133" s="19" t="str">
        <f>IF(N133&gt;0,(N133*VLOOKUP(Lookups!$K$11,Lookups!$M$10:$P$40,4,0)/VLOOKUP(O133,Lookups!$M$10:$P$40,4,0)),"")</f>
        <v/>
      </c>
      <c r="Q133" s="13" t="s">
        <v>2503</v>
      </c>
      <c r="R133" s="38" t="s">
        <v>621</v>
      </c>
      <c r="S133" s="13"/>
      <c r="T133" s="13"/>
      <c r="U133" s="120" t="s">
        <v>2506</v>
      </c>
      <c r="V133"/>
      <c r="W133"/>
      <c r="X133"/>
    </row>
    <row r="134" spans="1:24" s="40" customFormat="1" ht="60" hidden="1" customHeight="1" outlineLevel="2" x14ac:dyDescent="0.2">
      <c r="A134" s="37" t="s">
        <v>645</v>
      </c>
      <c r="B134" s="37" t="s">
        <v>636</v>
      </c>
      <c r="C134" s="37" t="s">
        <v>2157</v>
      </c>
      <c r="D134" s="45" t="s">
        <v>1844</v>
      </c>
      <c r="E134" s="13" t="s">
        <v>637</v>
      </c>
      <c r="F134" s="13" t="s">
        <v>674</v>
      </c>
      <c r="G134" s="13"/>
      <c r="H134" s="15">
        <v>35</v>
      </c>
      <c r="I134" s="17" t="s">
        <v>664</v>
      </c>
      <c r="J134" s="19">
        <f>IF(H134&gt;0,(H134*VLOOKUP(Lookups!$K$11,Lookups!$M$10:$P$40,4,0)/VLOOKUP(I134,Lookups!$M$10:$P$40,4,0)),"")</f>
        <v>38.124940844128268</v>
      </c>
      <c r="K134" s="15"/>
      <c r="L134" s="17"/>
      <c r="M134" s="19" t="str">
        <f>IF(K134&gt;0,(K134*VLOOKUP(Lookups!$K$11,Lookups!$M$10:$P$40,4,0)/VLOOKUP(L134,Lookups!$M$10:$P$40,4,0)),"")</f>
        <v/>
      </c>
      <c r="N134" s="15"/>
      <c r="O134" s="17"/>
      <c r="P134" s="19" t="str">
        <f>IF(N134&gt;0,(N134*VLOOKUP(Lookups!$K$11,Lookups!$M$10:$P$40,4,0)/VLOOKUP(O134,Lookups!$M$10:$P$40,4,0)),"")</f>
        <v/>
      </c>
      <c r="Q134" s="13" t="s">
        <v>2503</v>
      </c>
      <c r="R134" s="38" t="s">
        <v>621</v>
      </c>
      <c r="S134" s="13"/>
      <c r="T134" s="13"/>
      <c r="U134" s="120" t="s">
        <v>2506</v>
      </c>
      <c r="V134"/>
      <c r="W134"/>
      <c r="X134"/>
    </row>
    <row r="135" spans="1:24" s="40" customFormat="1" ht="60" hidden="1" customHeight="1" outlineLevel="2" x14ac:dyDescent="0.2">
      <c r="A135" s="37" t="s">
        <v>645</v>
      </c>
      <c r="B135" s="37" t="s">
        <v>636</v>
      </c>
      <c r="C135" s="37" t="s">
        <v>2158</v>
      </c>
      <c r="D135" s="45" t="s">
        <v>1718</v>
      </c>
      <c r="E135" s="13" t="s">
        <v>637</v>
      </c>
      <c r="F135" s="13" t="s">
        <v>712</v>
      </c>
      <c r="G135" s="13"/>
      <c r="H135" s="15">
        <v>2</v>
      </c>
      <c r="I135" s="17" t="s">
        <v>664</v>
      </c>
      <c r="J135" s="19">
        <f>IF(H135&gt;0,(H135*VLOOKUP(Lookups!$K$11,Lookups!$M$10:$P$40,4,0)/VLOOKUP(I135,Lookups!$M$10:$P$40,4,0)),"")</f>
        <v>2.1785680482359009</v>
      </c>
      <c r="K135" s="15"/>
      <c r="L135" s="17"/>
      <c r="M135" s="19" t="str">
        <f>IF(K135&gt;0,(K135*VLOOKUP(Lookups!$K$11,Lookups!$M$10:$P$40,4,0)/VLOOKUP(L135,Lookups!$M$10:$P$40,4,0)),"")</f>
        <v/>
      </c>
      <c r="N135" s="15"/>
      <c r="O135" s="17"/>
      <c r="P135" s="19" t="str">
        <f>IF(N135&gt;0,(N135*VLOOKUP(Lookups!$K$11,Lookups!$M$10:$P$40,4,0)/VLOOKUP(O135,Lookups!$M$10:$P$40,4,0)),"")</f>
        <v/>
      </c>
      <c r="Q135" s="13" t="s">
        <v>2503</v>
      </c>
      <c r="R135" s="38" t="s">
        <v>621</v>
      </c>
      <c r="S135" s="13"/>
      <c r="T135" s="13"/>
      <c r="U135" s="120" t="s">
        <v>2506</v>
      </c>
      <c r="V135"/>
      <c r="W135"/>
      <c r="X135"/>
    </row>
    <row r="136" spans="1:24" s="40" customFormat="1" ht="60" hidden="1" customHeight="1" outlineLevel="1" x14ac:dyDescent="0.2">
      <c r="A136" s="46" t="s">
        <v>645</v>
      </c>
      <c r="B136" s="46" t="s">
        <v>636</v>
      </c>
      <c r="C136" s="46" t="s">
        <v>2159</v>
      </c>
      <c r="D136" s="46" t="s">
        <v>1794</v>
      </c>
      <c r="E136" s="13" t="s">
        <v>637</v>
      </c>
      <c r="F136" s="13" t="s">
        <v>614</v>
      </c>
      <c r="G136" s="13"/>
      <c r="H136" s="15">
        <v>152</v>
      </c>
      <c r="I136" s="17" t="s">
        <v>664</v>
      </c>
      <c r="J136" s="19">
        <f>IF(H136&gt;0,(H136*VLOOKUP(Lookups!$K$11,Lookups!$M$10:$P$40,4,0)/VLOOKUP(I136,Lookups!$M$10:$P$40,4,0)),"")</f>
        <v>165.57117166592846</v>
      </c>
      <c r="K136" s="15">
        <v>316</v>
      </c>
      <c r="L136" s="17" t="s">
        <v>664</v>
      </c>
      <c r="M136" s="19">
        <f>IF(K136&gt;0,(K136*VLOOKUP(Lookups!$K$11,Lookups!$M$10:$P$40,4,0)/VLOOKUP(L136,Lookups!$M$10:$P$40,4,0)),"")</f>
        <v>344.21375162127237</v>
      </c>
      <c r="N136" s="15">
        <v>587</v>
      </c>
      <c r="O136" s="17" t="s">
        <v>664</v>
      </c>
      <c r="P136" s="19">
        <f>IF(N136&gt;0,(N136*VLOOKUP(Lookups!$K$11,Lookups!$M$10:$P$40,4,0)/VLOOKUP(O136,Lookups!$M$10:$P$40,4,0)),"")</f>
        <v>639.40972215723696</v>
      </c>
      <c r="Q136" s="13" t="s">
        <v>2503</v>
      </c>
      <c r="R136" s="38" t="s">
        <v>621</v>
      </c>
      <c r="S136" s="13" t="s">
        <v>162</v>
      </c>
      <c r="T136" s="13" t="s">
        <v>1912</v>
      </c>
      <c r="U136" s="13" t="s">
        <v>2504</v>
      </c>
      <c r="V136"/>
      <c r="W136"/>
      <c r="X136"/>
    </row>
    <row r="137" spans="1:24" s="40" customFormat="1" ht="60" hidden="1" customHeight="1" outlineLevel="2" x14ac:dyDescent="0.2">
      <c r="A137" s="37" t="s">
        <v>645</v>
      </c>
      <c r="B137" s="37" t="s">
        <v>636</v>
      </c>
      <c r="C137" s="37" t="s">
        <v>2160</v>
      </c>
      <c r="D137" s="45" t="s">
        <v>2010</v>
      </c>
      <c r="E137" s="13" t="s">
        <v>637</v>
      </c>
      <c r="F137" s="13" t="s">
        <v>1348</v>
      </c>
      <c r="G137" s="13"/>
      <c r="H137" s="15">
        <v>91</v>
      </c>
      <c r="I137" s="17" t="s">
        <v>664</v>
      </c>
      <c r="J137" s="19">
        <f>IF(H137&gt;0,(H137*VLOOKUP(Lookups!$K$11,Lookups!$M$10:$P$40,4,0)/VLOOKUP(I137,Lookups!$M$10:$P$40,4,0)),"")</f>
        <v>99.124846194733493</v>
      </c>
      <c r="K137" s="15"/>
      <c r="L137" s="17"/>
      <c r="M137" s="19" t="str">
        <f>IF(K137&gt;0,(K137*VLOOKUP(Lookups!$K$11,Lookups!$M$10:$P$40,4,0)/VLOOKUP(L137,Lookups!$M$10:$P$40,4,0)),"")</f>
        <v/>
      </c>
      <c r="N137" s="15"/>
      <c r="O137" s="17"/>
      <c r="P137" s="19" t="str">
        <f>IF(N137&gt;0,(N137*VLOOKUP(Lookups!$K$11,Lookups!$M$10:$P$40,4,0)/VLOOKUP(O137,Lookups!$M$10:$P$40,4,0)),"")</f>
        <v/>
      </c>
      <c r="Q137" s="13" t="s">
        <v>2503</v>
      </c>
      <c r="R137" s="38" t="s">
        <v>621</v>
      </c>
      <c r="S137" s="13"/>
      <c r="T137" s="13"/>
      <c r="U137" s="120" t="s">
        <v>2506</v>
      </c>
      <c r="V137"/>
      <c r="W137"/>
      <c r="X137"/>
    </row>
    <row r="138" spans="1:24" s="40" customFormat="1" ht="60" hidden="1" customHeight="1" outlineLevel="2" x14ac:dyDescent="0.2">
      <c r="A138" s="37" t="s">
        <v>645</v>
      </c>
      <c r="B138" s="37" t="s">
        <v>636</v>
      </c>
      <c r="C138" s="37" t="s">
        <v>2161</v>
      </c>
      <c r="D138" s="45" t="s">
        <v>1809</v>
      </c>
      <c r="E138" s="13" t="s">
        <v>637</v>
      </c>
      <c r="F138" s="13" t="s">
        <v>667</v>
      </c>
      <c r="G138" s="13"/>
      <c r="H138" s="15">
        <v>4</v>
      </c>
      <c r="I138" s="17" t="s">
        <v>664</v>
      </c>
      <c r="J138" s="19">
        <f>IF(H138&gt;0,(H138*VLOOKUP(Lookups!$K$11,Lookups!$M$10:$P$40,4,0)/VLOOKUP(I138,Lookups!$M$10:$P$40,4,0)),"")</f>
        <v>4.3571360964718018</v>
      </c>
      <c r="K138" s="15"/>
      <c r="L138" s="17"/>
      <c r="M138" s="19" t="str">
        <f>IF(K138&gt;0,(K138*VLOOKUP(Lookups!$K$11,Lookups!$M$10:$P$40,4,0)/VLOOKUP(L138,Lookups!$M$10:$P$40,4,0)),"")</f>
        <v/>
      </c>
      <c r="N138" s="15"/>
      <c r="O138" s="17"/>
      <c r="P138" s="19" t="str">
        <f>IF(N138&gt;0,(N138*VLOOKUP(Lookups!$K$11,Lookups!$M$10:$P$40,4,0)/VLOOKUP(O138,Lookups!$M$10:$P$40,4,0)),"")</f>
        <v/>
      </c>
      <c r="Q138" s="13" t="s">
        <v>2503</v>
      </c>
      <c r="R138" s="38" t="s">
        <v>621</v>
      </c>
      <c r="S138" s="13"/>
      <c r="T138" s="13"/>
      <c r="U138" s="120" t="s">
        <v>2506</v>
      </c>
      <c r="V138"/>
      <c r="W138"/>
      <c r="X138"/>
    </row>
    <row r="139" spans="1:24" s="40" customFormat="1" ht="60" hidden="1" customHeight="1" outlineLevel="2" x14ac:dyDescent="0.2">
      <c r="A139" s="37" t="s">
        <v>645</v>
      </c>
      <c r="B139" s="37" t="s">
        <v>636</v>
      </c>
      <c r="C139" s="37" t="s">
        <v>2162</v>
      </c>
      <c r="D139" s="45" t="s">
        <v>1828</v>
      </c>
      <c r="E139" s="13" t="s">
        <v>637</v>
      </c>
      <c r="F139" s="13" t="s">
        <v>737</v>
      </c>
      <c r="G139" s="13" t="s">
        <v>1418</v>
      </c>
      <c r="H139" s="15">
        <v>18</v>
      </c>
      <c r="I139" s="17" t="s">
        <v>664</v>
      </c>
      <c r="J139" s="19">
        <f>IF(H139&gt;0,(H139*VLOOKUP(Lookups!$K$11,Lookups!$M$10:$P$40,4,0)/VLOOKUP(I139,Lookups!$M$10:$P$40,4,0)),"")</f>
        <v>19.607112434123106</v>
      </c>
      <c r="K139" s="15"/>
      <c r="L139" s="17"/>
      <c r="M139" s="19" t="str">
        <f>IF(K139&gt;0,(K139*VLOOKUP(Lookups!$K$11,Lookups!$M$10:$P$40,4,0)/VLOOKUP(L139,Lookups!$M$10:$P$40,4,0)),"")</f>
        <v/>
      </c>
      <c r="N139" s="15"/>
      <c r="O139" s="17"/>
      <c r="P139" s="19" t="str">
        <f>IF(N139&gt;0,(N139*VLOOKUP(Lookups!$K$11,Lookups!$M$10:$P$40,4,0)/VLOOKUP(O139,Lookups!$M$10:$P$40,4,0)),"")</f>
        <v/>
      </c>
      <c r="Q139" s="13" t="s">
        <v>2503</v>
      </c>
      <c r="R139" s="38" t="s">
        <v>621</v>
      </c>
      <c r="S139" s="13"/>
      <c r="T139" s="13"/>
      <c r="U139" s="120" t="s">
        <v>2506</v>
      </c>
      <c r="V139"/>
      <c r="W139"/>
      <c r="X139"/>
    </row>
    <row r="140" spans="1:24" s="40" customFormat="1" ht="60" hidden="1" customHeight="1" outlineLevel="2" x14ac:dyDescent="0.2">
      <c r="A140" s="37" t="s">
        <v>645</v>
      </c>
      <c r="B140" s="37" t="s">
        <v>636</v>
      </c>
      <c r="C140" s="37" t="s">
        <v>2163</v>
      </c>
      <c r="D140" s="45" t="s">
        <v>1845</v>
      </c>
      <c r="E140" s="13" t="s">
        <v>637</v>
      </c>
      <c r="F140" s="13" t="s">
        <v>674</v>
      </c>
      <c r="G140" s="13"/>
      <c r="H140" s="15">
        <v>7</v>
      </c>
      <c r="I140" s="17" t="s">
        <v>664</v>
      </c>
      <c r="J140" s="19">
        <f>IF(H140&gt;0,(H140*VLOOKUP(Lookups!$K$11,Lookups!$M$10:$P$40,4,0)/VLOOKUP(I140,Lookups!$M$10:$P$40,4,0)),"")</f>
        <v>7.624988168825654</v>
      </c>
      <c r="K140" s="15"/>
      <c r="L140" s="17"/>
      <c r="M140" s="19" t="str">
        <f>IF(K140&gt;0,(K140*VLOOKUP(Lookups!$K$11,Lookups!$M$10:$P$40,4,0)/VLOOKUP(L140,Lookups!$M$10:$P$40,4,0)),"")</f>
        <v/>
      </c>
      <c r="N140" s="15"/>
      <c r="O140" s="17"/>
      <c r="P140" s="19" t="str">
        <f>IF(N140&gt;0,(N140*VLOOKUP(Lookups!$K$11,Lookups!$M$10:$P$40,4,0)/VLOOKUP(O140,Lookups!$M$10:$P$40,4,0)),"")</f>
        <v/>
      </c>
      <c r="Q140" s="13" t="s">
        <v>2503</v>
      </c>
      <c r="R140" s="38" t="s">
        <v>621</v>
      </c>
      <c r="S140" s="13"/>
      <c r="T140" s="13"/>
      <c r="U140" s="120" t="s">
        <v>2506</v>
      </c>
      <c r="V140"/>
      <c r="W140"/>
      <c r="X140"/>
    </row>
    <row r="141" spans="1:24" s="40" customFormat="1" ht="60" hidden="1" customHeight="1" outlineLevel="2" x14ac:dyDescent="0.2">
      <c r="A141" s="37" t="s">
        <v>645</v>
      </c>
      <c r="B141" s="37" t="s">
        <v>636</v>
      </c>
      <c r="C141" s="37" t="s">
        <v>2164</v>
      </c>
      <c r="D141" s="45" t="s">
        <v>1719</v>
      </c>
      <c r="E141" s="13" t="s">
        <v>637</v>
      </c>
      <c r="F141" s="13" t="s">
        <v>712</v>
      </c>
      <c r="G141" s="13"/>
      <c r="H141" s="15">
        <v>32</v>
      </c>
      <c r="I141" s="17" t="s">
        <v>664</v>
      </c>
      <c r="J141" s="19">
        <f>IF(H141&gt;0,(H141*VLOOKUP(Lookups!$K$11,Lookups!$M$10:$P$40,4,0)/VLOOKUP(I141,Lookups!$M$10:$P$40,4,0)),"")</f>
        <v>34.857088771774414</v>
      </c>
      <c r="K141" s="15"/>
      <c r="L141" s="17"/>
      <c r="M141" s="19" t="str">
        <f>IF(K141&gt;0,(K141*VLOOKUP(Lookups!$K$11,Lookups!$M$10:$P$40,4,0)/VLOOKUP(L141,Lookups!$M$10:$P$40,4,0)),"")</f>
        <v/>
      </c>
      <c r="N141" s="15"/>
      <c r="O141" s="17"/>
      <c r="P141" s="19" t="str">
        <f>IF(N141&gt;0,(N141*VLOOKUP(Lookups!$K$11,Lookups!$M$10:$P$40,4,0)/VLOOKUP(O141,Lookups!$M$10:$P$40,4,0)),"")</f>
        <v/>
      </c>
      <c r="Q141" s="13" t="s">
        <v>2503</v>
      </c>
      <c r="R141" s="38" t="s">
        <v>621</v>
      </c>
      <c r="S141" s="13"/>
      <c r="T141" s="13"/>
      <c r="U141" s="120" t="s">
        <v>2506</v>
      </c>
      <c r="V141"/>
      <c r="W141"/>
      <c r="X141"/>
    </row>
    <row r="142" spans="1:24" s="40" customFormat="1" ht="60" hidden="1" customHeight="1" outlineLevel="1" x14ac:dyDescent="0.2">
      <c r="A142" s="46" t="s">
        <v>645</v>
      </c>
      <c r="B142" s="46" t="s">
        <v>691</v>
      </c>
      <c r="C142" s="46" t="s">
        <v>2165</v>
      </c>
      <c r="D142" s="46" t="s">
        <v>1795</v>
      </c>
      <c r="E142" s="13" t="s">
        <v>637</v>
      </c>
      <c r="F142" s="13" t="s">
        <v>712</v>
      </c>
      <c r="G142" s="13"/>
      <c r="H142" s="15">
        <v>3909</v>
      </c>
      <c r="I142" s="17" t="s">
        <v>664</v>
      </c>
      <c r="J142" s="19">
        <f>IF(H142&gt;0,(H142*VLOOKUP(Lookups!$K$11,Lookups!$M$10:$P$40,4,0)/VLOOKUP(I142,Lookups!$M$10:$P$40,4,0)),"")</f>
        <v>4258.0112502770689</v>
      </c>
      <c r="K142" s="15">
        <v>1430</v>
      </c>
      <c r="L142" s="17" t="s">
        <v>664</v>
      </c>
      <c r="M142" s="19">
        <f>IF(K142&gt;0,(K142*VLOOKUP(Lookups!$K$11,Lookups!$M$10:$P$40,4,0)/VLOOKUP(L142,Lookups!$M$10:$P$40,4,0)),"")</f>
        <v>1557.676154488669</v>
      </c>
      <c r="N142" s="15">
        <v>4031</v>
      </c>
      <c r="O142" s="17" t="s">
        <v>664</v>
      </c>
      <c r="P142" s="19">
        <f>IF(N142&gt;0,(N142*VLOOKUP(Lookups!$K$11,Lookups!$M$10:$P$40,4,0)/VLOOKUP(O142,Lookups!$M$10:$P$40,4,0)),"")</f>
        <v>4390.903901219458</v>
      </c>
      <c r="Q142" s="13" t="s">
        <v>2503</v>
      </c>
      <c r="R142" s="38" t="s">
        <v>621</v>
      </c>
      <c r="S142" s="13" t="s">
        <v>163</v>
      </c>
      <c r="T142" s="13" t="s">
        <v>1912</v>
      </c>
      <c r="U142" s="13" t="s">
        <v>2504</v>
      </c>
      <c r="V142"/>
      <c r="W142"/>
      <c r="X142"/>
    </row>
    <row r="143" spans="1:24" s="40" customFormat="1" ht="60" hidden="1" customHeight="1" outlineLevel="2" x14ac:dyDescent="0.2">
      <c r="A143" s="37" t="s">
        <v>645</v>
      </c>
      <c r="B143" s="37" t="s">
        <v>691</v>
      </c>
      <c r="C143" s="37" t="s">
        <v>2166</v>
      </c>
      <c r="D143" s="45" t="s">
        <v>2011</v>
      </c>
      <c r="E143" s="13" t="s">
        <v>637</v>
      </c>
      <c r="F143" s="13" t="s">
        <v>1348</v>
      </c>
      <c r="G143" s="13"/>
      <c r="H143" s="15">
        <v>1627</v>
      </c>
      <c r="I143" s="17" t="s">
        <v>664</v>
      </c>
      <c r="J143" s="19">
        <f>IF(H143&gt;0,(H143*VLOOKUP(Lookups!$K$11,Lookups!$M$10:$P$40,4,0)/VLOOKUP(I143,Lookups!$M$10:$P$40,4,0)),"")</f>
        <v>1772.2651072399055</v>
      </c>
      <c r="K143" s="15"/>
      <c r="L143" s="17"/>
      <c r="M143" s="19" t="str">
        <f>IF(K143&gt;0,(K143*VLOOKUP(Lookups!$K$11,Lookups!$M$10:$P$40,4,0)/VLOOKUP(L143,Lookups!$M$10:$P$40,4,0)),"")</f>
        <v/>
      </c>
      <c r="N143" s="15"/>
      <c r="O143" s="17"/>
      <c r="P143" s="19" t="str">
        <f>IF(N143&gt;0,(N143*VLOOKUP(Lookups!$K$11,Lookups!$M$10:$P$40,4,0)/VLOOKUP(O143,Lookups!$M$10:$P$40,4,0)),"")</f>
        <v/>
      </c>
      <c r="Q143" s="13" t="s">
        <v>2503</v>
      </c>
      <c r="R143" s="38" t="s">
        <v>621</v>
      </c>
      <c r="S143" s="13"/>
      <c r="T143" s="13"/>
      <c r="U143" s="120" t="s">
        <v>2506</v>
      </c>
      <c r="V143"/>
      <c r="W143"/>
      <c r="X143"/>
    </row>
    <row r="144" spans="1:24" s="40" customFormat="1" ht="60" hidden="1" customHeight="1" outlineLevel="2" x14ac:dyDescent="0.2">
      <c r="A144" s="37" t="s">
        <v>645</v>
      </c>
      <c r="B144" s="37" t="s">
        <v>691</v>
      </c>
      <c r="C144" s="37" t="s">
        <v>2167</v>
      </c>
      <c r="D144" s="45" t="s">
        <v>1810</v>
      </c>
      <c r="E144" s="13" t="s">
        <v>637</v>
      </c>
      <c r="F144" s="13" t="s">
        <v>667</v>
      </c>
      <c r="G144" s="13"/>
      <c r="H144" s="15">
        <v>48</v>
      </c>
      <c r="I144" s="17" t="s">
        <v>664</v>
      </c>
      <c r="J144" s="19">
        <f>IF(H144&gt;0,(H144*VLOOKUP(Lookups!$K$11,Lookups!$M$10:$P$40,4,0)/VLOOKUP(I144,Lookups!$M$10:$P$40,4,0)),"")</f>
        <v>52.285633157661621</v>
      </c>
      <c r="K144" s="15"/>
      <c r="L144" s="17"/>
      <c r="M144" s="19" t="str">
        <f>IF(K144&gt;0,(K144*VLOOKUP(Lookups!$K$11,Lookups!$M$10:$P$40,4,0)/VLOOKUP(L144,Lookups!$M$10:$P$40,4,0)),"")</f>
        <v/>
      </c>
      <c r="N144" s="15"/>
      <c r="O144" s="17"/>
      <c r="P144" s="19" t="str">
        <f>IF(N144&gt;0,(N144*VLOOKUP(Lookups!$K$11,Lookups!$M$10:$P$40,4,0)/VLOOKUP(O144,Lookups!$M$10:$P$40,4,0)),"")</f>
        <v/>
      </c>
      <c r="Q144" s="13" t="s">
        <v>2503</v>
      </c>
      <c r="R144" s="38" t="s">
        <v>621</v>
      </c>
      <c r="S144" s="13"/>
      <c r="T144" s="13"/>
      <c r="U144" s="120" t="s">
        <v>2506</v>
      </c>
      <c r="V144"/>
      <c r="W144"/>
      <c r="X144"/>
    </row>
    <row r="145" spans="1:24" s="40" customFormat="1" ht="60" hidden="1" customHeight="1" outlineLevel="2" x14ac:dyDescent="0.2">
      <c r="A145" s="37" t="s">
        <v>645</v>
      </c>
      <c r="B145" s="37" t="s">
        <v>691</v>
      </c>
      <c r="C145" s="37" t="s">
        <v>2168</v>
      </c>
      <c r="D145" s="45" t="s">
        <v>1829</v>
      </c>
      <c r="E145" s="13" t="s">
        <v>637</v>
      </c>
      <c r="F145" s="13" t="s">
        <v>737</v>
      </c>
      <c r="G145" s="13" t="s">
        <v>1418</v>
      </c>
      <c r="H145" s="15">
        <v>361</v>
      </c>
      <c r="I145" s="17" t="s">
        <v>664</v>
      </c>
      <c r="J145" s="19">
        <f>IF(H145&gt;0,(H145*VLOOKUP(Lookups!$K$11,Lookups!$M$10:$P$40,4,0)/VLOOKUP(I145,Lookups!$M$10:$P$40,4,0)),"")</f>
        <v>393.23153270658014</v>
      </c>
      <c r="K145" s="15"/>
      <c r="L145" s="17"/>
      <c r="M145" s="19" t="str">
        <f>IF(K145&gt;0,(K145*VLOOKUP(Lookups!$K$11,Lookups!$M$10:$P$40,4,0)/VLOOKUP(L145,Lookups!$M$10:$P$40,4,0)),"")</f>
        <v/>
      </c>
      <c r="N145" s="15"/>
      <c r="O145" s="17"/>
      <c r="P145" s="19" t="str">
        <f>IF(N145&gt;0,(N145*VLOOKUP(Lookups!$K$11,Lookups!$M$10:$P$40,4,0)/VLOOKUP(O145,Lookups!$M$10:$P$40,4,0)),"")</f>
        <v/>
      </c>
      <c r="Q145" s="13" t="s">
        <v>2503</v>
      </c>
      <c r="R145" s="38" t="s">
        <v>621</v>
      </c>
      <c r="S145" s="13"/>
      <c r="T145" s="13"/>
      <c r="U145" s="120" t="s">
        <v>2506</v>
      </c>
      <c r="V145"/>
      <c r="W145"/>
      <c r="X145"/>
    </row>
    <row r="146" spans="1:24" s="40" customFormat="1" ht="60" hidden="1" customHeight="1" outlineLevel="2" x14ac:dyDescent="0.2">
      <c r="A146" s="37" t="s">
        <v>645</v>
      </c>
      <c r="B146" s="37" t="s">
        <v>691</v>
      </c>
      <c r="C146" s="37" t="s">
        <v>2169</v>
      </c>
      <c r="D146" s="45" t="s">
        <v>1846</v>
      </c>
      <c r="E146" s="13" t="s">
        <v>637</v>
      </c>
      <c r="F146" s="13" t="s">
        <v>674</v>
      </c>
      <c r="G146" s="13"/>
      <c r="H146" s="15">
        <v>1076</v>
      </c>
      <c r="I146" s="17" t="s">
        <v>664</v>
      </c>
      <c r="J146" s="19">
        <f>IF(H146&gt;0,(H146*VLOOKUP(Lookups!$K$11,Lookups!$M$10:$P$40,4,0)/VLOOKUP(I146,Lookups!$M$10:$P$40,4,0)),"")</f>
        <v>1172.0696099509148</v>
      </c>
      <c r="K146" s="15"/>
      <c r="L146" s="17"/>
      <c r="M146" s="19" t="str">
        <f>IF(K146&gt;0,(K146*VLOOKUP(Lookups!$K$11,Lookups!$M$10:$P$40,4,0)/VLOOKUP(L146,Lookups!$M$10:$P$40,4,0)),"")</f>
        <v/>
      </c>
      <c r="N146" s="15"/>
      <c r="O146" s="17"/>
      <c r="P146" s="19" t="str">
        <f>IF(N146&gt;0,(N146*VLOOKUP(Lookups!$K$11,Lookups!$M$10:$P$40,4,0)/VLOOKUP(O146,Lookups!$M$10:$P$40,4,0)),"")</f>
        <v/>
      </c>
      <c r="Q146" s="13" t="s">
        <v>2503</v>
      </c>
      <c r="R146" s="38" t="s">
        <v>621</v>
      </c>
      <c r="S146" s="13"/>
      <c r="T146" s="13"/>
      <c r="U146" s="120" t="s">
        <v>2506</v>
      </c>
      <c r="V146"/>
      <c r="W146"/>
      <c r="X146"/>
    </row>
    <row r="147" spans="1:24" s="40" customFormat="1" ht="60" hidden="1" customHeight="1" outlineLevel="2" x14ac:dyDescent="0.2">
      <c r="A147" s="37" t="s">
        <v>645</v>
      </c>
      <c r="B147" s="37" t="s">
        <v>691</v>
      </c>
      <c r="C147" s="37" t="s">
        <v>2170</v>
      </c>
      <c r="D147" s="45" t="s">
        <v>1720</v>
      </c>
      <c r="E147" s="13" t="s">
        <v>637</v>
      </c>
      <c r="F147" s="13" t="s">
        <v>712</v>
      </c>
      <c r="G147" s="13"/>
      <c r="H147" s="15">
        <v>188</v>
      </c>
      <c r="I147" s="17" t="s">
        <v>664</v>
      </c>
      <c r="J147" s="19">
        <f>IF(H147&gt;0,(H147*VLOOKUP(Lookups!$K$11,Lookups!$M$10:$P$40,4,0)/VLOOKUP(I147,Lookups!$M$10:$P$40,4,0)),"")</f>
        <v>204.78539653417471</v>
      </c>
      <c r="K147" s="15"/>
      <c r="L147" s="17"/>
      <c r="M147" s="19" t="str">
        <f>IF(K147&gt;0,(K147*VLOOKUP(Lookups!$K$11,Lookups!$M$10:$P$40,4,0)/VLOOKUP(L147,Lookups!$M$10:$P$40,4,0)),"")</f>
        <v/>
      </c>
      <c r="N147" s="15"/>
      <c r="O147" s="17"/>
      <c r="P147" s="19" t="str">
        <f>IF(N147&gt;0,(N147*VLOOKUP(Lookups!$K$11,Lookups!$M$10:$P$40,4,0)/VLOOKUP(O147,Lookups!$M$10:$P$40,4,0)),"")</f>
        <v/>
      </c>
      <c r="Q147" s="13" t="s">
        <v>2503</v>
      </c>
      <c r="R147" s="38" t="s">
        <v>621</v>
      </c>
      <c r="S147" s="13"/>
      <c r="T147" s="13"/>
      <c r="U147" s="120" t="s">
        <v>2506</v>
      </c>
      <c r="V147"/>
      <c r="W147"/>
      <c r="X147"/>
    </row>
    <row r="148" spans="1:24" s="40" customFormat="1" ht="60" hidden="1" customHeight="1" outlineLevel="2" x14ac:dyDescent="0.2">
      <c r="A148" s="37" t="s">
        <v>645</v>
      </c>
      <c r="B148" s="37" t="s">
        <v>691</v>
      </c>
      <c r="C148" s="37" t="s">
        <v>2171</v>
      </c>
      <c r="D148" s="45" t="s">
        <v>1857</v>
      </c>
      <c r="E148" s="13" t="s">
        <v>637</v>
      </c>
      <c r="F148" s="13" t="s">
        <v>629</v>
      </c>
      <c r="G148" s="13"/>
      <c r="H148" s="15">
        <v>609</v>
      </c>
      <c r="I148" s="17" t="s">
        <v>664</v>
      </c>
      <c r="J148" s="19">
        <f>IF(H148&gt;0,(H148*VLOOKUP(Lookups!$K$11,Lookups!$M$10:$P$40,4,0)/VLOOKUP(I148,Lookups!$M$10:$P$40,4,0)),"")</f>
        <v>663.37397068783184</v>
      </c>
      <c r="K148" s="15"/>
      <c r="L148" s="17"/>
      <c r="M148" s="19" t="str">
        <f>IF(K148&gt;0,(K148*VLOOKUP(Lookups!$K$11,Lookups!$M$10:$P$40,4,0)/VLOOKUP(L148,Lookups!$M$10:$P$40,4,0)),"")</f>
        <v/>
      </c>
      <c r="N148" s="15"/>
      <c r="O148" s="17"/>
      <c r="P148" s="19" t="str">
        <f>IF(N148&gt;0,(N148*VLOOKUP(Lookups!$K$11,Lookups!$M$10:$P$40,4,0)/VLOOKUP(O148,Lookups!$M$10:$P$40,4,0)),"")</f>
        <v/>
      </c>
      <c r="Q148" s="13" t="s">
        <v>2503</v>
      </c>
      <c r="R148" s="38" t="s">
        <v>621</v>
      </c>
      <c r="S148" s="13"/>
      <c r="T148" s="13"/>
      <c r="U148" s="120" t="s">
        <v>2506</v>
      </c>
      <c r="V148"/>
      <c r="W148"/>
      <c r="X148"/>
    </row>
    <row r="149" spans="1:24" s="40" customFormat="1" ht="60" hidden="1" customHeight="1" outlineLevel="1" x14ac:dyDescent="0.2">
      <c r="A149" s="46" t="s">
        <v>645</v>
      </c>
      <c r="B149" s="46" t="s">
        <v>636</v>
      </c>
      <c r="C149" s="46" t="s">
        <v>2172</v>
      </c>
      <c r="D149" s="46" t="s">
        <v>1796</v>
      </c>
      <c r="E149" s="13" t="s">
        <v>637</v>
      </c>
      <c r="F149" s="13" t="s">
        <v>614</v>
      </c>
      <c r="G149" s="13"/>
      <c r="H149" s="15">
        <v>1597</v>
      </c>
      <c r="I149" s="17" t="s">
        <v>664</v>
      </c>
      <c r="J149" s="19">
        <f>IF(H149&gt;0,(H149*VLOOKUP(Lookups!$K$11,Lookups!$M$10:$P$40,4,0)/VLOOKUP(I149,Lookups!$M$10:$P$40,4,0)),"")</f>
        <v>1739.5865865163667</v>
      </c>
      <c r="K149" s="15">
        <v>2050</v>
      </c>
      <c r="L149" s="17" t="s">
        <v>664</v>
      </c>
      <c r="M149" s="19">
        <f>IF(K149&gt;0,(K149*VLOOKUP(Lookups!$K$11,Lookups!$M$10:$P$40,4,0)/VLOOKUP(L149,Lookups!$M$10:$P$40,4,0)),"")</f>
        <v>2233.0322494417983</v>
      </c>
      <c r="N149" s="15">
        <v>943</v>
      </c>
      <c r="O149" s="17" t="s">
        <v>664</v>
      </c>
      <c r="P149" s="19">
        <f>IF(N149&gt;0,(N149*VLOOKUP(Lookups!$K$11,Lookups!$M$10:$P$40,4,0)/VLOOKUP(O149,Lookups!$M$10:$P$40,4,0)),"")</f>
        <v>1027.1948347432271</v>
      </c>
      <c r="Q149" s="13" t="s">
        <v>2503</v>
      </c>
      <c r="R149" s="38" t="s">
        <v>621</v>
      </c>
      <c r="S149" s="13" t="s">
        <v>164</v>
      </c>
      <c r="T149" s="13" t="s">
        <v>1912</v>
      </c>
      <c r="U149" s="13" t="s">
        <v>2504</v>
      </c>
      <c r="V149"/>
      <c r="W149"/>
      <c r="X149"/>
    </row>
    <row r="150" spans="1:24" s="40" customFormat="1" ht="60" hidden="1" customHeight="1" outlineLevel="2" x14ac:dyDescent="0.2">
      <c r="A150" s="37" t="s">
        <v>645</v>
      </c>
      <c r="B150" s="37" t="s">
        <v>636</v>
      </c>
      <c r="C150" s="37" t="s">
        <v>2173</v>
      </c>
      <c r="D150" s="45" t="s">
        <v>2012</v>
      </c>
      <c r="E150" s="13" t="s">
        <v>637</v>
      </c>
      <c r="F150" s="13" t="s">
        <v>1348</v>
      </c>
      <c r="G150" s="13"/>
      <c r="H150" s="15">
        <v>788</v>
      </c>
      <c r="I150" s="17" t="s">
        <v>664</v>
      </c>
      <c r="J150" s="19">
        <f>IF(H150&gt;0,(H150*VLOOKUP(Lookups!$K$11,Lookups!$M$10:$P$40,4,0)/VLOOKUP(I150,Lookups!$M$10:$P$40,4,0)),"")</f>
        <v>858.35581100494505</v>
      </c>
      <c r="K150" s="15"/>
      <c r="L150" s="17"/>
      <c r="M150" s="19" t="str">
        <f>IF(K150&gt;0,(K150*VLOOKUP(Lookups!$K$11,Lookups!$M$10:$P$40,4,0)/VLOOKUP(L150,Lookups!$M$10:$P$40,4,0)),"")</f>
        <v/>
      </c>
      <c r="N150" s="15"/>
      <c r="O150" s="17"/>
      <c r="P150" s="19" t="str">
        <f>IF(N150&gt;0,(N150*VLOOKUP(Lookups!$K$11,Lookups!$M$10:$P$40,4,0)/VLOOKUP(O150,Lookups!$M$10:$P$40,4,0)),"")</f>
        <v/>
      </c>
      <c r="Q150" s="13" t="s">
        <v>2503</v>
      </c>
      <c r="R150" s="38" t="s">
        <v>621</v>
      </c>
      <c r="S150" s="13"/>
      <c r="T150" s="13"/>
      <c r="U150" s="120" t="s">
        <v>2506</v>
      </c>
      <c r="V150"/>
      <c r="W150"/>
      <c r="X150"/>
    </row>
    <row r="151" spans="1:24" s="40" customFormat="1" ht="60" hidden="1" customHeight="1" outlineLevel="2" x14ac:dyDescent="0.2">
      <c r="A151" s="37" t="s">
        <v>645</v>
      </c>
      <c r="B151" s="37" t="s">
        <v>636</v>
      </c>
      <c r="C151" s="37" t="s">
        <v>2207</v>
      </c>
      <c r="D151" s="45" t="s">
        <v>1811</v>
      </c>
      <c r="E151" s="13" t="s">
        <v>637</v>
      </c>
      <c r="F151" s="13" t="s">
        <v>667</v>
      </c>
      <c r="G151" s="13"/>
      <c r="H151" s="15">
        <v>66</v>
      </c>
      <c r="I151" s="17" t="s">
        <v>664</v>
      </c>
      <c r="J151" s="19">
        <f>IF(H151&gt;0,(H151*VLOOKUP(Lookups!$K$11,Lookups!$M$10:$P$40,4,0)/VLOOKUP(I151,Lookups!$M$10:$P$40,4,0)),"")</f>
        <v>71.892745591784731</v>
      </c>
      <c r="K151" s="15"/>
      <c r="L151" s="17"/>
      <c r="M151" s="19" t="str">
        <f>IF(K151&gt;0,(K151*VLOOKUP(Lookups!$K$11,Lookups!$M$10:$P$40,4,0)/VLOOKUP(L151,Lookups!$M$10:$P$40,4,0)),"")</f>
        <v/>
      </c>
      <c r="N151" s="15"/>
      <c r="O151" s="17"/>
      <c r="P151" s="19" t="str">
        <f>IF(N151&gt;0,(N151*VLOOKUP(Lookups!$K$11,Lookups!$M$10:$P$40,4,0)/VLOOKUP(O151,Lookups!$M$10:$P$40,4,0)),"")</f>
        <v/>
      </c>
      <c r="Q151" s="13" t="s">
        <v>2503</v>
      </c>
      <c r="R151" s="38" t="s">
        <v>621</v>
      </c>
      <c r="S151" s="13"/>
      <c r="T151" s="13"/>
      <c r="U151" s="120" t="s">
        <v>2506</v>
      </c>
      <c r="V151"/>
      <c r="W151"/>
      <c r="X151"/>
    </row>
    <row r="152" spans="1:24" s="40" customFormat="1" ht="60" hidden="1" customHeight="1" outlineLevel="2" x14ac:dyDescent="0.2">
      <c r="A152" s="37" t="s">
        <v>645</v>
      </c>
      <c r="B152" s="37" t="s">
        <v>636</v>
      </c>
      <c r="C152" s="37" t="s">
        <v>2174</v>
      </c>
      <c r="D152" s="45" t="s">
        <v>1830</v>
      </c>
      <c r="E152" s="13" t="s">
        <v>637</v>
      </c>
      <c r="F152" s="13" t="s">
        <v>737</v>
      </c>
      <c r="G152" s="13" t="s">
        <v>1418</v>
      </c>
      <c r="H152" s="15">
        <v>171</v>
      </c>
      <c r="I152" s="17" t="s">
        <v>664</v>
      </c>
      <c r="J152" s="19">
        <f>IF(H152&gt;0,(H152*VLOOKUP(Lookups!$K$11,Lookups!$M$10:$P$40,4,0)/VLOOKUP(I152,Lookups!$M$10:$P$40,4,0)),"")</f>
        <v>186.26756812416951</v>
      </c>
      <c r="K152" s="15"/>
      <c r="L152" s="17"/>
      <c r="M152" s="19" t="str">
        <f>IF(K152&gt;0,(K152*VLOOKUP(Lookups!$K$11,Lookups!$M$10:$P$40,4,0)/VLOOKUP(L152,Lookups!$M$10:$P$40,4,0)),"")</f>
        <v/>
      </c>
      <c r="N152" s="15"/>
      <c r="O152" s="17"/>
      <c r="P152" s="19" t="str">
        <f>IF(N152&gt;0,(N152*VLOOKUP(Lookups!$K$11,Lookups!$M$10:$P$40,4,0)/VLOOKUP(O152,Lookups!$M$10:$P$40,4,0)),"")</f>
        <v/>
      </c>
      <c r="Q152" s="13" t="s">
        <v>2503</v>
      </c>
      <c r="R152" s="38" t="s">
        <v>621</v>
      </c>
      <c r="S152" s="13"/>
      <c r="T152" s="13"/>
      <c r="U152" s="120" t="s">
        <v>2506</v>
      </c>
      <c r="V152"/>
      <c r="W152"/>
      <c r="X152"/>
    </row>
    <row r="153" spans="1:24" s="40" customFormat="1" ht="60" hidden="1" customHeight="1" outlineLevel="2" x14ac:dyDescent="0.2">
      <c r="A153" s="37" t="s">
        <v>645</v>
      </c>
      <c r="B153" s="37" t="s">
        <v>636</v>
      </c>
      <c r="C153" s="37" t="s">
        <v>2175</v>
      </c>
      <c r="D153" s="45" t="s">
        <v>1847</v>
      </c>
      <c r="E153" s="13" t="s">
        <v>637</v>
      </c>
      <c r="F153" s="13" t="s">
        <v>674</v>
      </c>
      <c r="G153" s="13"/>
      <c r="H153" s="15">
        <v>525</v>
      </c>
      <c r="I153" s="17" t="s">
        <v>664</v>
      </c>
      <c r="J153" s="19">
        <f>IF(H153&gt;0,(H153*VLOOKUP(Lookups!$K$11,Lookups!$M$10:$P$40,4,0)/VLOOKUP(I153,Lookups!$M$10:$P$40,4,0)),"")</f>
        <v>571.87411266192396</v>
      </c>
      <c r="K153" s="15"/>
      <c r="L153" s="17"/>
      <c r="M153" s="19" t="str">
        <f>IF(K153&gt;0,(K153*VLOOKUP(Lookups!$K$11,Lookups!$M$10:$P$40,4,0)/VLOOKUP(L153,Lookups!$M$10:$P$40,4,0)),"")</f>
        <v/>
      </c>
      <c r="N153" s="15"/>
      <c r="O153" s="17"/>
      <c r="P153" s="19" t="str">
        <f>IF(N153&gt;0,(N153*VLOOKUP(Lookups!$K$11,Lookups!$M$10:$P$40,4,0)/VLOOKUP(O153,Lookups!$M$10:$P$40,4,0)),"")</f>
        <v/>
      </c>
      <c r="Q153" s="13" t="s">
        <v>2503</v>
      </c>
      <c r="R153" s="38" t="s">
        <v>621</v>
      </c>
      <c r="S153" s="13"/>
      <c r="T153" s="13"/>
      <c r="U153" s="120" t="s">
        <v>2506</v>
      </c>
      <c r="V153"/>
      <c r="W153"/>
      <c r="X153"/>
    </row>
    <row r="154" spans="1:24" s="40" customFormat="1" ht="60" hidden="1" customHeight="1" outlineLevel="2" x14ac:dyDescent="0.2">
      <c r="A154" s="37" t="s">
        <v>645</v>
      </c>
      <c r="B154" s="37" t="s">
        <v>636</v>
      </c>
      <c r="C154" s="37" t="s">
        <v>2176</v>
      </c>
      <c r="D154" s="45" t="s">
        <v>1721</v>
      </c>
      <c r="E154" s="13" t="s">
        <v>637</v>
      </c>
      <c r="F154" s="13" t="s">
        <v>712</v>
      </c>
      <c r="G154" s="13"/>
      <c r="H154" s="15">
        <v>48</v>
      </c>
      <c r="I154" s="17" t="s">
        <v>664</v>
      </c>
      <c r="J154" s="19">
        <f>IF(H154&gt;0,(H154*VLOOKUP(Lookups!$K$11,Lookups!$M$10:$P$40,4,0)/VLOOKUP(I154,Lookups!$M$10:$P$40,4,0)),"")</f>
        <v>52.285633157661621</v>
      </c>
      <c r="K154" s="15"/>
      <c r="L154" s="17"/>
      <c r="M154" s="19" t="str">
        <f>IF(K154&gt;0,(K154*VLOOKUP(Lookups!$K$11,Lookups!$M$10:$P$40,4,0)/VLOOKUP(L154,Lookups!$M$10:$P$40,4,0)),"")</f>
        <v/>
      </c>
      <c r="N154" s="15"/>
      <c r="O154" s="17"/>
      <c r="P154" s="19" t="str">
        <f>IF(N154&gt;0,(N154*VLOOKUP(Lookups!$K$11,Lookups!$M$10:$P$40,4,0)/VLOOKUP(O154,Lookups!$M$10:$P$40,4,0)),"")</f>
        <v/>
      </c>
      <c r="Q154" s="13" t="s">
        <v>2503</v>
      </c>
      <c r="R154" s="38" t="s">
        <v>621</v>
      </c>
      <c r="S154" s="13"/>
      <c r="T154" s="13"/>
      <c r="U154" s="120" t="s">
        <v>2506</v>
      </c>
      <c r="V154"/>
      <c r="W154"/>
      <c r="X154"/>
    </row>
    <row r="155" spans="1:24" s="40" customFormat="1" ht="60" hidden="1" customHeight="1" outlineLevel="1" x14ac:dyDescent="0.2">
      <c r="A155" s="46" t="s">
        <v>645</v>
      </c>
      <c r="B155" s="46" t="s">
        <v>636</v>
      </c>
      <c r="C155" s="46" t="s">
        <v>2177</v>
      </c>
      <c r="D155" s="46" t="s">
        <v>1797</v>
      </c>
      <c r="E155" s="13" t="s">
        <v>637</v>
      </c>
      <c r="F155" s="13" t="s">
        <v>614</v>
      </c>
      <c r="G155" s="13"/>
      <c r="H155" s="15">
        <v>479</v>
      </c>
      <c r="I155" s="17" t="s">
        <v>664</v>
      </c>
      <c r="J155" s="19">
        <f>IF(H155&gt;0,(H155*VLOOKUP(Lookups!$K$11,Lookups!$M$10:$P$40,4,0)/VLOOKUP(I155,Lookups!$M$10:$P$40,4,0)),"")</f>
        <v>521.7670475524983</v>
      </c>
      <c r="K155" s="15">
        <v>7515</v>
      </c>
      <c r="L155" s="17" t="s">
        <v>664</v>
      </c>
      <c r="M155" s="19">
        <f>IF(K155&gt;0,(K155*VLOOKUP(Lookups!$K$11,Lookups!$M$10:$P$40,4,0)/VLOOKUP(L155,Lookups!$M$10:$P$40,4,0)),"")</f>
        <v>8185.9694412463978</v>
      </c>
      <c r="N155" s="15">
        <v>2010</v>
      </c>
      <c r="O155" s="17" t="s">
        <v>664</v>
      </c>
      <c r="P155" s="19">
        <f>IF(N155&gt;0,(N155*VLOOKUP(Lookups!$K$11,Lookups!$M$10:$P$40,4,0)/VLOOKUP(O155,Lookups!$M$10:$P$40,4,0)),"")</f>
        <v>2189.4608884770805</v>
      </c>
      <c r="Q155" s="13" t="s">
        <v>2503</v>
      </c>
      <c r="R155" s="38" t="s">
        <v>621</v>
      </c>
      <c r="S155" s="13" t="s">
        <v>449</v>
      </c>
      <c r="T155" s="13" t="s">
        <v>1912</v>
      </c>
      <c r="U155" s="13" t="s">
        <v>2504</v>
      </c>
      <c r="V155"/>
      <c r="W155"/>
      <c r="X155"/>
    </row>
    <row r="156" spans="1:24" s="40" customFormat="1" ht="60" hidden="1" customHeight="1" outlineLevel="2" x14ac:dyDescent="0.2">
      <c r="A156" s="37" t="s">
        <v>645</v>
      </c>
      <c r="B156" s="37" t="s">
        <v>636</v>
      </c>
      <c r="C156" s="37" t="s">
        <v>2178</v>
      </c>
      <c r="D156" s="45" t="s">
        <v>2013</v>
      </c>
      <c r="E156" s="13" t="s">
        <v>637</v>
      </c>
      <c r="F156" s="13" t="s">
        <v>1348</v>
      </c>
      <c r="G156" s="13"/>
      <c r="H156" s="15">
        <v>248</v>
      </c>
      <c r="I156" s="17" t="s">
        <v>664</v>
      </c>
      <c r="J156" s="19">
        <f>IF(H156&gt;0,(H156*VLOOKUP(Lookups!$K$11,Lookups!$M$10:$P$40,4,0)/VLOOKUP(I156,Lookups!$M$10:$P$40,4,0)),"")</f>
        <v>270.1424379812517</v>
      </c>
      <c r="K156" s="15"/>
      <c r="L156" s="17"/>
      <c r="M156" s="19" t="str">
        <f>IF(K156&gt;0,(K156*VLOOKUP(Lookups!$K$11,Lookups!$M$10:$P$40,4,0)/VLOOKUP(L156,Lookups!$M$10:$P$40,4,0)),"")</f>
        <v/>
      </c>
      <c r="N156" s="15"/>
      <c r="O156" s="17"/>
      <c r="P156" s="19" t="str">
        <f>IF(N156&gt;0,(N156*VLOOKUP(Lookups!$K$11,Lookups!$M$10:$P$40,4,0)/VLOOKUP(O156,Lookups!$M$10:$P$40,4,0)),"")</f>
        <v/>
      </c>
      <c r="Q156" s="13" t="s">
        <v>2503</v>
      </c>
      <c r="R156" s="38" t="s">
        <v>621</v>
      </c>
      <c r="S156" s="13"/>
      <c r="T156" s="13"/>
      <c r="U156" s="120" t="s">
        <v>2506</v>
      </c>
      <c r="V156"/>
      <c r="W156"/>
      <c r="X156"/>
    </row>
    <row r="157" spans="1:24" s="40" customFormat="1" ht="60" hidden="1" customHeight="1" outlineLevel="2" x14ac:dyDescent="0.2">
      <c r="A157" s="37" t="s">
        <v>645</v>
      </c>
      <c r="B157" s="37" t="s">
        <v>636</v>
      </c>
      <c r="C157" s="37" t="s">
        <v>2179</v>
      </c>
      <c r="D157" s="45" t="s">
        <v>1812</v>
      </c>
      <c r="E157" s="13" t="s">
        <v>637</v>
      </c>
      <c r="F157" s="13" t="s">
        <v>667</v>
      </c>
      <c r="G157" s="13"/>
      <c r="H157" s="15">
        <v>37</v>
      </c>
      <c r="I157" s="17" t="s">
        <v>664</v>
      </c>
      <c r="J157" s="19">
        <f>IF(H157&gt;0,(H157*VLOOKUP(Lookups!$K$11,Lookups!$M$10:$P$40,4,0)/VLOOKUP(I157,Lookups!$M$10:$P$40,4,0)),"")</f>
        <v>40.303508892364171</v>
      </c>
      <c r="K157" s="15"/>
      <c r="L157" s="17"/>
      <c r="M157" s="19" t="str">
        <f>IF(K157&gt;0,(K157*VLOOKUP(Lookups!$K$11,Lookups!$M$10:$P$40,4,0)/VLOOKUP(L157,Lookups!$M$10:$P$40,4,0)),"")</f>
        <v/>
      </c>
      <c r="N157" s="15"/>
      <c r="O157" s="17"/>
      <c r="P157" s="19" t="str">
        <f>IF(N157&gt;0,(N157*VLOOKUP(Lookups!$K$11,Lookups!$M$10:$P$40,4,0)/VLOOKUP(O157,Lookups!$M$10:$P$40,4,0)),"")</f>
        <v/>
      </c>
      <c r="Q157" s="13" t="s">
        <v>2503</v>
      </c>
      <c r="R157" s="38" t="s">
        <v>621</v>
      </c>
      <c r="S157" s="13"/>
      <c r="T157" s="13"/>
      <c r="U157" s="120" t="s">
        <v>2506</v>
      </c>
      <c r="V157"/>
      <c r="W157"/>
      <c r="X157"/>
    </row>
    <row r="158" spans="1:24" s="40" customFormat="1" ht="60" hidden="1" customHeight="1" outlineLevel="2" x14ac:dyDescent="0.2">
      <c r="A158" s="37" t="s">
        <v>645</v>
      </c>
      <c r="B158" s="37" t="s">
        <v>636</v>
      </c>
      <c r="C158" s="37" t="s">
        <v>2180</v>
      </c>
      <c r="D158" s="45" t="s">
        <v>1831</v>
      </c>
      <c r="E158" s="13" t="s">
        <v>637</v>
      </c>
      <c r="F158" s="13" t="s">
        <v>737</v>
      </c>
      <c r="G158" s="13" t="s">
        <v>1418</v>
      </c>
      <c r="H158" s="15">
        <v>62</v>
      </c>
      <c r="I158" s="17" t="s">
        <v>664</v>
      </c>
      <c r="J158" s="19">
        <f>IF(H158&gt;0,(H158*VLOOKUP(Lookups!$K$11,Lookups!$M$10:$P$40,4,0)/VLOOKUP(I158,Lookups!$M$10:$P$40,4,0)),"")</f>
        <v>67.535609495312926</v>
      </c>
      <c r="K158" s="15"/>
      <c r="L158" s="17"/>
      <c r="M158" s="19" t="str">
        <f>IF(K158&gt;0,(K158*VLOOKUP(Lookups!$K$11,Lookups!$M$10:$P$40,4,0)/VLOOKUP(L158,Lookups!$M$10:$P$40,4,0)),"")</f>
        <v/>
      </c>
      <c r="N158" s="15"/>
      <c r="O158" s="17"/>
      <c r="P158" s="19" t="str">
        <f>IF(N158&gt;0,(N158*VLOOKUP(Lookups!$K$11,Lookups!$M$10:$P$40,4,0)/VLOOKUP(O158,Lookups!$M$10:$P$40,4,0)),"")</f>
        <v/>
      </c>
      <c r="Q158" s="13" t="s">
        <v>2503</v>
      </c>
      <c r="R158" s="38" t="s">
        <v>621</v>
      </c>
      <c r="S158" s="13"/>
      <c r="T158" s="13"/>
      <c r="U158" s="120" t="s">
        <v>2506</v>
      </c>
      <c r="V158"/>
      <c r="W158"/>
      <c r="X158"/>
    </row>
    <row r="159" spans="1:24" s="40" customFormat="1" ht="60" hidden="1" customHeight="1" outlineLevel="2" x14ac:dyDescent="0.2">
      <c r="A159" s="37" t="s">
        <v>645</v>
      </c>
      <c r="B159" s="37" t="s">
        <v>636</v>
      </c>
      <c r="C159" s="37" t="s">
        <v>2181</v>
      </c>
      <c r="D159" s="45" t="s">
        <v>1848</v>
      </c>
      <c r="E159" s="13" t="s">
        <v>637</v>
      </c>
      <c r="F159" s="13" t="s">
        <v>674</v>
      </c>
      <c r="G159" s="13"/>
      <c r="H159" s="15">
        <v>124</v>
      </c>
      <c r="I159" s="17" t="s">
        <v>664</v>
      </c>
      <c r="J159" s="19">
        <f>IF(H159&gt;0,(H159*VLOOKUP(Lookups!$K$11,Lookups!$M$10:$P$40,4,0)/VLOOKUP(I159,Lookups!$M$10:$P$40,4,0)),"")</f>
        <v>135.07121899062585</v>
      </c>
      <c r="K159" s="15"/>
      <c r="L159" s="17"/>
      <c r="M159" s="19" t="str">
        <f>IF(K159&gt;0,(K159*VLOOKUP(Lookups!$K$11,Lookups!$M$10:$P$40,4,0)/VLOOKUP(L159,Lookups!$M$10:$P$40,4,0)),"")</f>
        <v/>
      </c>
      <c r="N159" s="15"/>
      <c r="O159" s="17"/>
      <c r="P159" s="19" t="str">
        <f>IF(N159&gt;0,(N159*VLOOKUP(Lookups!$K$11,Lookups!$M$10:$P$40,4,0)/VLOOKUP(O159,Lookups!$M$10:$P$40,4,0)),"")</f>
        <v/>
      </c>
      <c r="Q159" s="13" t="s">
        <v>2503</v>
      </c>
      <c r="R159" s="38" t="s">
        <v>621</v>
      </c>
      <c r="S159" s="13"/>
      <c r="T159" s="13"/>
      <c r="U159" s="120" t="s">
        <v>2506</v>
      </c>
      <c r="V159"/>
      <c r="W159"/>
      <c r="X159"/>
    </row>
    <row r="160" spans="1:24" s="40" customFormat="1" ht="60" hidden="1" customHeight="1" outlineLevel="2" x14ac:dyDescent="0.2">
      <c r="A160" s="37" t="s">
        <v>645</v>
      </c>
      <c r="B160" s="37" t="s">
        <v>636</v>
      </c>
      <c r="C160" s="37" t="s">
        <v>2182</v>
      </c>
      <c r="D160" s="45" t="s">
        <v>1743</v>
      </c>
      <c r="E160" s="13" t="s">
        <v>637</v>
      </c>
      <c r="F160" s="13" t="s">
        <v>712</v>
      </c>
      <c r="G160" s="13"/>
      <c r="H160" s="15">
        <v>9</v>
      </c>
      <c r="I160" s="17" t="s">
        <v>664</v>
      </c>
      <c r="J160" s="19">
        <f>IF(H160&gt;0,(H160*VLOOKUP(Lookups!$K$11,Lookups!$M$10:$P$40,4,0)/VLOOKUP(I160,Lookups!$M$10:$P$40,4,0)),"")</f>
        <v>9.8035562170615531</v>
      </c>
      <c r="K160" s="15"/>
      <c r="L160" s="17"/>
      <c r="M160" s="19" t="str">
        <f>IF(K160&gt;0,(K160*VLOOKUP(Lookups!$K$11,Lookups!$M$10:$P$40,4,0)/VLOOKUP(L160,Lookups!$M$10:$P$40,4,0)),"")</f>
        <v/>
      </c>
      <c r="N160" s="15"/>
      <c r="O160" s="17"/>
      <c r="P160" s="19" t="str">
        <f>IF(N160&gt;0,(N160*VLOOKUP(Lookups!$K$11,Lookups!$M$10:$P$40,4,0)/VLOOKUP(O160,Lookups!$M$10:$P$40,4,0)),"")</f>
        <v/>
      </c>
      <c r="Q160" s="13" t="s">
        <v>2503</v>
      </c>
      <c r="R160" s="38" t="s">
        <v>621</v>
      </c>
      <c r="S160" s="13"/>
      <c r="T160" s="13"/>
      <c r="U160" s="120" t="s">
        <v>2506</v>
      </c>
      <c r="V160"/>
      <c r="W160"/>
      <c r="X160"/>
    </row>
    <row r="161" spans="1:24" s="40" customFormat="1" ht="60" hidden="1" customHeight="1" outlineLevel="1" x14ac:dyDescent="0.2">
      <c r="A161" s="46" t="s">
        <v>645</v>
      </c>
      <c r="B161" s="46" t="s">
        <v>636</v>
      </c>
      <c r="C161" s="46" t="s">
        <v>2183</v>
      </c>
      <c r="D161" s="46" t="s">
        <v>1798</v>
      </c>
      <c r="E161" s="13" t="s">
        <v>637</v>
      </c>
      <c r="F161" s="13" t="s">
        <v>614</v>
      </c>
      <c r="G161" s="13"/>
      <c r="H161" s="15">
        <v>73</v>
      </c>
      <c r="I161" s="17" t="s">
        <v>664</v>
      </c>
      <c r="J161" s="19">
        <f>IF(H161&gt;0,(H161*VLOOKUP(Lookups!$K$11,Lookups!$M$10:$P$40,4,0)/VLOOKUP(I161,Lookups!$M$10:$P$40,4,0)),"")</f>
        <v>79.517733760610383</v>
      </c>
      <c r="K161" s="15">
        <v>774</v>
      </c>
      <c r="L161" s="17" t="s">
        <v>664</v>
      </c>
      <c r="M161" s="19">
        <f>IF(K161&gt;0,(K161*VLOOKUP(Lookups!$K$11,Lookups!$M$10:$P$40,4,0)/VLOOKUP(L161,Lookups!$M$10:$P$40,4,0)),"")</f>
        <v>843.10583466729361</v>
      </c>
      <c r="N161" s="15">
        <v>399</v>
      </c>
      <c r="O161" s="17" t="s">
        <v>664</v>
      </c>
      <c r="P161" s="19">
        <f>IF(N161&gt;0,(N161*VLOOKUP(Lookups!$K$11,Lookups!$M$10:$P$40,4,0)/VLOOKUP(O161,Lookups!$M$10:$P$40,4,0)),"")</f>
        <v>434.62432562306219</v>
      </c>
      <c r="Q161" s="13" t="s">
        <v>2503</v>
      </c>
      <c r="R161" s="38" t="s">
        <v>621</v>
      </c>
      <c r="S161" s="13" t="s">
        <v>450</v>
      </c>
      <c r="T161" s="13" t="s">
        <v>1912</v>
      </c>
      <c r="U161" s="13" t="s">
        <v>2504</v>
      </c>
      <c r="V161"/>
      <c r="W161"/>
      <c r="X161"/>
    </row>
    <row r="162" spans="1:24" s="40" customFormat="1" ht="60" hidden="1" customHeight="1" outlineLevel="2" x14ac:dyDescent="0.2">
      <c r="A162" s="37" t="s">
        <v>645</v>
      </c>
      <c r="B162" s="37" t="s">
        <v>636</v>
      </c>
      <c r="C162" s="37" t="s">
        <v>2184</v>
      </c>
      <c r="D162" s="45" t="s">
        <v>1858</v>
      </c>
      <c r="E162" s="13" t="s">
        <v>637</v>
      </c>
      <c r="F162" s="13" t="s">
        <v>1348</v>
      </c>
      <c r="G162" s="13"/>
      <c r="H162" s="15">
        <v>31</v>
      </c>
      <c r="I162" s="17" t="s">
        <v>664</v>
      </c>
      <c r="J162" s="19">
        <f>IF(H162&gt;0,(H162*VLOOKUP(Lookups!$K$11,Lookups!$M$10:$P$40,4,0)/VLOOKUP(I162,Lookups!$M$10:$P$40,4,0)),"")</f>
        <v>33.767804747656463</v>
      </c>
      <c r="K162" s="15"/>
      <c r="L162" s="17"/>
      <c r="M162" s="19" t="str">
        <f>IF(K162&gt;0,(K162*VLOOKUP(Lookups!$K$11,Lookups!$M$10:$P$40,4,0)/VLOOKUP(L162,Lookups!$M$10:$P$40,4,0)),"")</f>
        <v/>
      </c>
      <c r="N162" s="15"/>
      <c r="O162" s="17"/>
      <c r="P162" s="19" t="str">
        <f>IF(N162&gt;0,(N162*VLOOKUP(Lookups!$K$11,Lookups!$M$10:$P$40,4,0)/VLOOKUP(O162,Lookups!$M$10:$P$40,4,0)),"")</f>
        <v/>
      </c>
      <c r="Q162" s="13" t="s">
        <v>2503</v>
      </c>
      <c r="R162" s="38" t="s">
        <v>621</v>
      </c>
      <c r="S162" s="13"/>
      <c r="T162" s="13"/>
      <c r="U162" s="120" t="s">
        <v>2506</v>
      </c>
      <c r="V162"/>
      <c r="W162"/>
      <c r="X162"/>
    </row>
    <row r="163" spans="1:24" s="40" customFormat="1" ht="60" hidden="1" customHeight="1" outlineLevel="2" x14ac:dyDescent="0.2">
      <c r="A163" s="37" t="s">
        <v>645</v>
      </c>
      <c r="B163" s="37" t="s">
        <v>636</v>
      </c>
      <c r="C163" s="37" t="s">
        <v>2185</v>
      </c>
      <c r="D163" s="45" t="s">
        <v>1813</v>
      </c>
      <c r="E163" s="13" t="s">
        <v>637</v>
      </c>
      <c r="F163" s="13" t="s">
        <v>667</v>
      </c>
      <c r="G163" s="13"/>
      <c r="H163" s="15">
        <v>6</v>
      </c>
      <c r="I163" s="17" t="s">
        <v>664</v>
      </c>
      <c r="J163" s="19">
        <f>IF(H163&gt;0,(H163*VLOOKUP(Lookups!$K$11,Lookups!$M$10:$P$40,4,0)/VLOOKUP(I163,Lookups!$M$10:$P$40,4,0)),"")</f>
        <v>6.5357041447077027</v>
      </c>
      <c r="K163" s="15"/>
      <c r="L163" s="17"/>
      <c r="M163" s="19" t="str">
        <f>IF(K163&gt;0,(K163*VLOOKUP(Lookups!$K$11,Lookups!$M$10:$P$40,4,0)/VLOOKUP(L163,Lookups!$M$10:$P$40,4,0)),"")</f>
        <v/>
      </c>
      <c r="N163" s="15"/>
      <c r="O163" s="17"/>
      <c r="P163" s="19" t="str">
        <f>IF(N163&gt;0,(N163*VLOOKUP(Lookups!$K$11,Lookups!$M$10:$P$40,4,0)/VLOOKUP(O163,Lookups!$M$10:$P$40,4,0)),"")</f>
        <v/>
      </c>
      <c r="Q163" s="13" t="s">
        <v>2503</v>
      </c>
      <c r="R163" s="38" t="s">
        <v>621</v>
      </c>
      <c r="S163" s="13"/>
      <c r="T163" s="13"/>
      <c r="U163" s="120" t="s">
        <v>2506</v>
      </c>
      <c r="V163"/>
      <c r="W163"/>
      <c r="X163"/>
    </row>
    <row r="164" spans="1:24" s="40" customFormat="1" ht="60" hidden="1" customHeight="1" outlineLevel="2" x14ac:dyDescent="0.2">
      <c r="A164" s="37" t="s">
        <v>645</v>
      </c>
      <c r="B164" s="37" t="s">
        <v>636</v>
      </c>
      <c r="C164" s="37" t="s">
        <v>2186</v>
      </c>
      <c r="D164" s="45" t="s">
        <v>1832</v>
      </c>
      <c r="E164" s="13" t="s">
        <v>637</v>
      </c>
      <c r="F164" s="13" t="s">
        <v>737</v>
      </c>
      <c r="G164" s="13" t="s">
        <v>1418</v>
      </c>
      <c r="H164" s="15">
        <v>16</v>
      </c>
      <c r="I164" s="17" t="s">
        <v>664</v>
      </c>
      <c r="J164" s="19">
        <f>IF(H164&gt;0,(H164*VLOOKUP(Lookups!$K$11,Lookups!$M$10:$P$40,4,0)/VLOOKUP(I164,Lookups!$M$10:$P$40,4,0)),"")</f>
        <v>17.428544385887207</v>
      </c>
      <c r="K164" s="15"/>
      <c r="L164" s="17"/>
      <c r="M164" s="19" t="str">
        <f>IF(K164&gt;0,(K164*VLOOKUP(Lookups!$K$11,Lookups!$M$10:$P$40,4,0)/VLOOKUP(L164,Lookups!$M$10:$P$40,4,0)),"")</f>
        <v/>
      </c>
      <c r="N164" s="15"/>
      <c r="O164" s="17"/>
      <c r="P164" s="19" t="str">
        <f>IF(N164&gt;0,(N164*VLOOKUP(Lookups!$K$11,Lookups!$M$10:$P$40,4,0)/VLOOKUP(O164,Lookups!$M$10:$P$40,4,0)),"")</f>
        <v/>
      </c>
      <c r="Q164" s="13" t="s">
        <v>2503</v>
      </c>
      <c r="R164" s="38" t="s">
        <v>621</v>
      </c>
      <c r="S164" s="13"/>
      <c r="T164" s="13"/>
      <c r="U164" s="120" t="s">
        <v>2506</v>
      </c>
      <c r="V164"/>
      <c r="W164"/>
      <c r="X164"/>
    </row>
    <row r="165" spans="1:24" s="40" customFormat="1" ht="60" hidden="1" customHeight="1" outlineLevel="2" x14ac:dyDescent="0.2">
      <c r="A165" s="37" t="s">
        <v>645</v>
      </c>
      <c r="B165" s="37" t="s">
        <v>636</v>
      </c>
      <c r="C165" s="37" t="s">
        <v>2187</v>
      </c>
      <c r="D165" s="45" t="s">
        <v>1703</v>
      </c>
      <c r="E165" s="13" t="s">
        <v>637</v>
      </c>
      <c r="F165" s="13" t="s">
        <v>674</v>
      </c>
      <c r="G165" s="13"/>
      <c r="H165" s="15">
        <v>19</v>
      </c>
      <c r="I165" s="17" t="s">
        <v>664</v>
      </c>
      <c r="J165" s="19">
        <f>IF(H165&gt;0,(H165*VLOOKUP(Lookups!$K$11,Lookups!$M$10:$P$40,4,0)/VLOOKUP(I165,Lookups!$M$10:$P$40,4,0)),"")</f>
        <v>20.696396458241058</v>
      </c>
      <c r="K165" s="15"/>
      <c r="L165" s="17"/>
      <c r="M165" s="19" t="str">
        <f>IF(K165&gt;0,(K165*VLOOKUP(Lookups!$K$11,Lookups!$M$10:$P$40,4,0)/VLOOKUP(L165,Lookups!$M$10:$P$40,4,0)),"")</f>
        <v/>
      </c>
      <c r="N165" s="15"/>
      <c r="O165" s="17"/>
      <c r="P165" s="19" t="str">
        <f>IF(N165&gt;0,(N165*VLOOKUP(Lookups!$K$11,Lookups!$M$10:$P$40,4,0)/VLOOKUP(O165,Lookups!$M$10:$P$40,4,0)),"")</f>
        <v/>
      </c>
      <c r="Q165" s="13" t="s">
        <v>2503</v>
      </c>
      <c r="R165" s="38" t="s">
        <v>621</v>
      </c>
      <c r="S165" s="13"/>
      <c r="T165" s="13"/>
      <c r="U165" s="120" t="s">
        <v>2506</v>
      </c>
      <c r="V165"/>
      <c r="W165"/>
      <c r="X165"/>
    </row>
    <row r="166" spans="1:24" s="40" customFormat="1" ht="60" hidden="1" customHeight="1" outlineLevel="2" x14ac:dyDescent="0.2">
      <c r="A166" s="37" t="s">
        <v>645</v>
      </c>
      <c r="B166" s="37" t="s">
        <v>636</v>
      </c>
      <c r="C166" s="37" t="s">
        <v>2188</v>
      </c>
      <c r="D166" s="45" t="s">
        <v>1744</v>
      </c>
      <c r="E166" s="13" t="s">
        <v>637</v>
      </c>
      <c r="F166" s="13" t="s">
        <v>712</v>
      </c>
      <c r="G166" s="13"/>
      <c r="H166" s="15">
        <v>1</v>
      </c>
      <c r="I166" s="17" t="s">
        <v>664</v>
      </c>
      <c r="J166" s="19">
        <f>IF(H166&gt;0,(H166*VLOOKUP(Lookups!$K$11,Lookups!$M$10:$P$40,4,0)/VLOOKUP(I166,Lookups!$M$10:$P$40,4,0)),"")</f>
        <v>1.0892840241179504</v>
      </c>
      <c r="K166" s="15"/>
      <c r="L166" s="17"/>
      <c r="M166" s="19" t="str">
        <f>IF(K166&gt;0,(K166*VLOOKUP(Lookups!$K$11,Lookups!$M$10:$P$40,4,0)/VLOOKUP(L166,Lookups!$M$10:$P$40,4,0)),"")</f>
        <v/>
      </c>
      <c r="N166" s="15"/>
      <c r="O166" s="17"/>
      <c r="P166" s="19" t="str">
        <f>IF(N166&gt;0,(N166*VLOOKUP(Lookups!$K$11,Lookups!$M$10:$P$40,4,0)/VLOOKUP(O166,Lookups!$M$10:$P$40,4,0)),"")</f>
        <v/>
      </c>
      <c r="Q166" s="13" t="s">
        <v>2503</v>
      </c>
      <c r="R166" s="38" t="s">
        <v>621</v>
      </c>
      <c r="S166" s="13"/>
      <c r="T166" s="13"/>
      <c r="U166" s="120" t="s">
        <v>2506</v>
      </c>
      <c r="V166"/>
      <c r="W166"/>
      <c r="X166"/>
    </row>
    <row r="167" spans="1:24" s="40" customFormat="1" ht="60" hidden="1" customHeight="1" outlineLevel="1" x14ac:dyDescent="0.2">
      <c r="A167" s="46" t="s">
        <v>645</v>
      </c>
      <c r="B167" s="46" t="s">
        <v>636</v>
      </c>
      <c r="C167" s="46" t="s">
        <v>2189</v>
      </c>
      <c r="D167" s="46" t="s">
        <v>1799</v>
      </c>
      <c r="E167" s="13" t="s">
        <v>637</v>
      </c>
      <c r="F167" s="13" t="s">
        <v>614</v>
      </c>
      <c r="G167" s="13"/>
      <c r="H167" s="15">
        <v>78</v>
      </c>
      <c r="I167" s="17" t="s">
        <v>664</v>
      </c>
      <c r="J167" s="19">
        <f>IF(H167&gt;0,(H167*VLOOKUP(Lookups!$K$11,Lookups!$M$10:$P$40,4,0)/VLOOKUP(I167,Lookups!$M$10:$P$40,4,0)),"")</f>
        <v>84.964153881200133</v>
      </c>
      <c r="K167" s="15">
        <v>297</v>
      </c>
      <c r="L167" s="17" t="s">
        <v>664</v>
      </c>
      <c r="M167" s="19">
        <f>IF(K167&gt;0,(K167*VLOOKUP(Lookups!$K$11,Lookups!$M$10:$P$40,4,0)/VLOOKUP(L167,Lookups!$M$10:$P$40,4,0)),"")</f>
        <v>323.51735516303125</v>
      </c>
      <c r="N167" s="15">
        <v>241</v>
      </c>
      <c r="O167" s="17" t="s">
        <v>664</v>
      </c>
      <c r="P167" s="19">
        <f>IF(N167&gt;0,(N167*VLOOKUP(Lookups!$K$11,Lookups!$M$10:$P$40,4,0)/VLOOKUP(O167,Lookups!$M$10:$P$40,4,0)),"")</f>
        <v>262.51744981242604</v>
      </c>
      <c r="Q167" s="13" t="s">
        <v>2503</v>
      </c>
      <c r="R167" s="38" t="s">
        <v>621</v>
      </c>
      <c r="S167" s="13" t="s">
        <v>451</v>
      </c>
      <c r="T167" s="13" t="s">
        <v>1912</v>
      </c>
      <c r="U167" s="13" t="s">
        <v>2504</v>
      </c>
      <c r="V167"/>
      <c r="W167"/>
      <c r="X167"/>
    </row>
    <row r="168" spans="1:24" s="40" customFormat="1" ht="60" hidden="1" customHeight="1" outlineLevel="2" x14ac:dyDescent="0.2">
      <c r="A168" s="37" t="s">
        <v>645</v>
      </c>
      <c r="B168" s="37" t="s">
        <v>636</v>
      </c>
      <c r="C168" s="37" t="s">
        <v>2190</v>
      </c>
      <c r="D168" s="45" t="s">
        <v>2014</v>
      </c>
      <c r="E168" s="13" t="s">
        <v>637</v>
      </c>
      <c r="F168" s="13" t="s">
        <v>1348</v>
      </c>
      <c r="G168" s="13"/>
      <c r="H168" s="15">
        <v>45</v>
      </c>
      <c r="I168" s="17" t="s">
        <v>664</v>
      </c>
      <c r="J168" s="19">
        <f>IF(H168&gt;0,(H168*VLOOKUP(Lookups!$K$11,Lookups!$M$10:$P$40,4,0)/VLOOKUP(I168,Lookups!$M$10:$P$40,4,0)),"")</f>
        <v>49.017781085307767</v>
      </c>
      <c r="K168" s="15"/>
      <c r="L168" s="17"/>
      <c r="M168" s="19" t="str">
        <f>IF(K168&gt;0,(K168*VLOOKUP(Lookups!$K$11,Lookups!$M$10:$P$40,4,0)/VLOOKUP(L168,Lookups!$M$10:$P$40,4,0)),"")</f>
        <v/>
      </c>
      <c r="N168" s="15"/>
      <c r="O168" s="17"/>
      <c r="P168" s="19" t="str">
        <f>IF(N168&gt;0,(N168*VLOOKUP(Lookups!$K$11,Lookups!$M$10:$P$40,4,0)/VLOOKUP(O168,Lookups!$M$10:$P$40,4,0)),"")</f>
        <v/>
      </c>
      <c r="Q168" s="13" t="s">
        <v>2503</v>
      </c>
      <c r="R168" s="38" t="s">
        <v>621</v>
      </c>
      <c r="S168" s="13"/>
      <c r="T168" s="13"/>
      <c r="U168" s="120" t="s">
        <v>2506</v>
      </c>
      <c r="V168"/>
      <c r="W168"/>
      <c r="X168"/>
    </row>
    <row r="169" spans="1:24" s="40" customFormat="1" ht="60" hidden="1" customHeight="1" outlineLevel="2" x14ac:dyDescent="0.2">
      <c r="A169" s="37" t="s">
        <v>645</v>
      </c>
      <c r="B169" s="37" t="s">
        <v>636</v>
      </c>
      <c r="C169" s="37" t="s">
        <v>2191</v>
      </c>
      <c r="D169" s="45" t="s">
        <v>1818</v>
      </c>
      <c r="E169" s="13" t="s">
        <v>637</v>
      </c>
      <c r="F169" s="13" t="s">
        <v>667</v>
      </c>
      <c r="G169" s="13"/>
      <c r="H169" s="15">
        <v>6</v>
      </c>
      <c r="I169" s="17" t="s">
        <v>664</v>
      </c>
      <c r="J169" s="19">
        <f>IF(H169&gt;0,(H169*VLOOKUP(Lookups!$K$11,Lookups!$M$10:$P$40,4,0)/VLOOKUP(I169,Lookups!$M$10:$P$40,4,0)),"")</f>
        <v>6.5357041447077027</v>
      </c>
      <c r="K169" s="15"/>
      <c r="L169" s="17"/>
      <c r="M169" s="19" t="str">
        <f>IF(K169&gt;0,(K169*VLOOKUP(Lookups!$K$11,Lookups!$M$10:$P$40,4,0)/VLOOKUP(L169,Lookups!$M$10:$P$40,4,0)),"")</f>
        <v/>
      </c>
      <c r="N169" s="15"/>
      <c r="O169" s="17"/>
      <c r="P169" s="19" t="str">
        <f>IF(N169&gt;0,(N169*VLOOKUP(Lookups!$K$11,Lookups!$M$10:$P$40,4,0)/VLOOKUP(O169,Lookups!$M$10:$P$40,4,0)),"")</f>
        <v/>
      </c>
      <c r="Q169" s="13" t="s">
        <v>2503</v>
      </c>
      <c r="R169" s="38" t="s">
        <v>621</v>
      </c>
      <c r="S169" s="13"/>
      <c r="T169" s="13"/>
      <c r="U169" s="120" t="s">
        <v>2506</v>
      </c>
      <c r="V169"/>
      <c r="W169"/>
      <c r="X169"/>
    </row>
    <row r="170" spans="1:24" s="40" customFormat="1" ht="60" hidden="1" customHeight="1" outlineLevel="2" x14ac:dyDescent="0.2">
      <c r="A170" s="37" t="s">
        <v>645</v>
      </c>
      <c r="B170" s="37" t="s">
        <v>636</v>
      </c>
      <c r="C170" s="37" t="s">
        <v>2192</v>
      </c>
      <c r="D170" s="45" t="s">
        <v>1833</v>
      </c>
      <c r="E170" s="13" t="s">
        <v>637</v>
      </c>
      <c r="F170" s="13" t="s">
        <v>737</v>
      </c>
      <c r="G170" s="13" t="s">
        <v>1418</v>
      </c>
      <c r="H170" s="15">
        <v>6</v>
      </c>
      <c r="I170" s="17" t="s">
        <v>664</v>
      </c>
      <c r="J170" s="19">
        <f>IF(H170&gt;0,(H170*VLOOKUP(Lookups!$K$11,Lookups!$M$10:$P$40,4,0)/VLOOKUP(I170,Lookups!$M$10:$P$40,4,0)),"")</f>
        <v>6.5357041447077027</v>
      </c>
      <c r="K170" s="15"/>
      <c r="L170" s="17"/>
      <c r="M170" s="19" t="str">
        <f>IF(K170&gt;0,(K170*VLOOKUP(Lookups!$K$11,Lookups!$M$10:$P$40,4,0)/VLOOKUP(L170,Lookups!$M$10:$P$40,4,0)),"")</f>
        <v/>
      </c>
      <c r="N170" s="15"/>
      <c r="O170" s="17"/>
      <c r="P170" s="19" t="str">
        <f>IF(N170&gt;0,(N170*VLOOKUP(Lookups!$K$11,Lookups!$M$10:$P$40,4,0)/VLOOKUP(O170,Lookups!$M$10:$P$40,4,0)),"")</f>
        <v/>
      </c>
      <c r="Q170" s="13" t="s">
        <v>2503</v>
      </c>
      <c r="R170" s="38" t="s">
        <v>621</v>
      </c>
      <c r="S170" s="13"/>
      <c r="T170" s="13"/>
      <c r="U170" s="120" t="s">
        <v>2506</v>
      </c>
      <c r="V170"/>
      <c r="W170"/>
      <c r="X170"/>
    </row>
    <row r="171" spans="1:24" s="40" customFormat="1" ht="60" hidden="1" customHeight="1" outlineLevel="2" x14ac:dyDescent="0.2">
      <c r="A171" s="37" t="s">
        <v>645</v>
      </c>
      <c r="B171" s="37" t="s">
        <v>636</v>
      </c>
      <c r="C171" s="37" t="s">
        <v>2193</v>
      </c>
      <c r="D171" s="45" t="s">
        <v>1704</v>
      </c>
      <c r="E171" s="13" t="s">
        <v>637</v>
      </c>
      <c r="F171" s="13" t="s">
        <v>674</v>
      </c>
      <c r="G171" s="13"/>
      <c r="H171" s="15">
        <v>19</v>
      </c>
      <c r="I171" s="17" t="s">
        <v>664</v>
      </c>
      <c r="J171" s="19">
        <f>IF(H171&gt;0,(H171*VLOOKUP(Lookups!$K$11,Lookups!$M$10:$P$40,4,0)/VLOOKUP(I171,Lookups!$M$10:$P$40,4,0)),"")</f>
        <v>20.696396458241058</v>
      </c>
      <c r="K171" s="15"/>
      <c r="L171" s="17"/>
      <c r="M171" s="19" t="str">
        <f>IF(K171&gt;0,(K171*VLOOKUP(Lookups!$K$11,Lookups!$M$10:$P$40,4,0)/VLOOKUP(L171,Lookups!$M$10:$P$40,4,0)),"")</f>
        <v/>
      </c>
      <c r="N171" s="15"/>
      <c r="O171" s="17"/>
      <c r="P171" s="19" t="str">
        <f>IF(N171&gt;0,(N171*VLOOKUP(Lookups!$K$11,Lookups!$M$10:$P$40,4,0)/VLOOKUP(O171,Lookups!$M$10:$P$40,4,0)),"")</f>
        <v/>
      </c>
      <c r="Q171" s="13" t="s">
        <v>2503</v>
      </c>
      <c r="R171" s="38" t="s">
        <v>621</v>
      </c>
      <c r="S171" s="13"/>
      <c r="T171" s="13"/>
      <c r="U171" s="120" t="s">
        <v>2506</v>
      </c>
      <c r="V171"/>
      <c r="W171"/>
      <c r="X171"/>
    </row>
    <row r="172" spans="1:24" s="40" customFormat="1" ht="60" hidden="1" customHeight="1" outlineLevel="2" x14ac:dyDescent="0.2">
      <c r="A172" s="37" t="s">
        <v>645</v>
      </c>
      <c r="B172" s="37" t="s">
        <v>636</v>
      </c>
      <c r="C172" s="37" t="s">
        <v>2194</v>
      </c>
      <c r="D172" s="45" t="s">
        <v>1745</v>
      </c>
      <c r="E172" s="13" t="s">
        <v>637</v>
      </c>
      <c r="F172" s="13" t="s">
        <v>712</v>
      </c>
      <c r="G172" s="13"/>
      <c r="H172" s="15">
        <v>1</v>
      </c>
      <c r="I172" s="17" t="s">
        <v>664</v>
      </c>
      <c r="J172" s="19">
        <f>IF(H172&gt;0,(H172*VLOOKUP(Lookups!$K$11,Lookups!$M$10:$P$40,4,0)/VLOOKUP(I172,Lookups!$M$10:$P$40,4,0)),"")</f>
        <v>1.0892840241179504</v>
      </c>
      <c r="K172" s="15"/>
      <c r="L172" s="17"/>
      <c r="M172" s="19" t="str">
        <f>IF(K172&gt;0,(K172*VLOOKUP(Lookups!$K$11,Lookups!$M$10:$P$40,4,0)/VLOOKUP(L172,Lookups!$M$10:$P$40,4,0)),"")</f>
        <v/>
      </c>
      <c r="N172" s="15"/>
      <c r="O172" s="17"/>
      <c r="P172" s="19" t="str">
        <f>IF(N172&gt;0,(N172*VLOOKUP(Lookups!$K$11,Lookups!$M$10:$P$40,4,0)/VLOOKUP(O172,Lookups!$M$10:$P$40,4,0)),"")</f>
        <v/>
      </c>
      <c r="Q172" s="13" t="s">
        <v>2503</v>
      </c>
      <c r="R172" s="38" t="s">
        <v>621</v>
      </c>
      <c r="S172" s="13"/>
      <c r="T172" s="13"/>
      <c r="U172" s="120" t="s">
        <v>2506</v>
      </c>
      <c r="V172"/>
      <c r="W172"/>
      <c r="X172"/>
    </row>
    <row r="173" spans="1:24" s="40" customFormat="1" ht="60" hidden="1" customHeight="1" outlineLevel="1" x14ac:dyDescent="0.2">
      <c r="A173" s="46" t="s">
        <v>645</v>
      </c>
      <c r="B173" s="46" t="s">
        <v>636</v>
      </c>
      <c r="C173" s="46" t="s">
        <v>2195</v>
      </c>
      <c r="D173" s="46" t="s">
        <v>1800</v>
      </c>
      <c r="E173" s="13" t="s">
        <v>637</v>
      </c>
      <c r="F173" s="13" t="s">
        <v>614</v>
      </c>
      <c r="G173" s="13"/>
      <c r="H173" s="15">
        <v>26</v>
      </c>
      <c r="I173" s="17" t="s">
        <v>664</v>
      </c>
      <c r="J173" s="19">
        <f>IF(H173&gt;0,(H173*VLOOKUP(Lookups!$K$11,Lookups!$M$10:$P$40,4,0)/VLOOKUP(I173,Lookups!$M$10:$P$40,4,0)),"")</f>
        <v>28.321384627066713</v>
      </c>
      <c r="K173" s="15">
        <v>97</v>
      </c>
      <c r="L173" s="17" t="s">
        <v>664</v>
      </c>
      <c r="M173" s="19">
        <f>IF(K173&gt;0,(K173*VLOOKUP(Lookups!$K$11,Lookups!$M$10:$P$40,4,0)/VLOOKUP(L173,Lookups!$M$10:$P$40,4,0)),"")</f>
        <v>105.6605503394412</v>
      </c>
      <c r="N173" s="15"/>
      <c r="O173" s="17"/>
      <c r="P173" s="19" t="str">
        <f>IF(N173&gt;0,(N173*VLOOKUP(Lookups!$K$11,Lookups!$M$10:$P$40,4,0)/VLOOKUP(O173,Lookups!$M$10:$P$40,4,0)),"")</f>
        <v/>
      </c>
      <c r="Q173" s="13" t="s">
        <v>2503</v>
      </c>
      <c r="R173" s="38" t="s">
        <v>621</v>
      </c>
      <c r="S173" s="13" t="s">
        <v>452</v>
      </c>
      <c r="T173" s="13" t="s">
        <v>1912</v>
      </c>
      <c r="U173" s="13" t="s">
        <v>2505</v>
      </c>
      <c r="V173"/>
      <c r="W173"/>
      <c r="X173"/>
    </row>
    <row r="174" spans="1:24" s="40" customFormat="1" ht="60" hidden="1" customHeight="1" outlineLevel="2" x14ac:dyDescent="0.2">
      <c r="A174" s="37" t="s">
        <v>645</v>
      </c>
      <c r="B174" s="37" t="s">
        <v>636</v>
      </c>
      <c r="C174" s="37" t="s">
        <v>2196</v>
      </c>
      <c r="D174" s="45" t="s">
        <v>2015</v>
      </c>
      <c r="E174" s="13" t="s">
        <v>637</v>
      </c>
      <c r="F174" s="13" t="s">
        <v>1348</v>
      </c>
      <c r="G174" s="13"/>
      <c r="H174" s="15">
        <v>12</v>
      </c>
      <c r="I174" s="17" t="s">
        <v>664</v>
      </c>
      <c r="J174" s="19">
        <f>IF(H174&gt;0,(H174*VLOOKUP(Lookups!$K$11,Lookups!$M$10:$P$40,4,0)/VLOOKUP(I174,Lookups!$M$10:$P$40,4,0)),"")</f>
        <v>13.071408289415405</v>
      </c>
      <c r="K174" s="15"/>
      <c r="L174" s="17"/>
      <c r="M174" s="19" t="str">
        <f>IF(K174&gt;0,(K174*VLOOKUP(Lookups!$K$11,Lookups!$M$10:$P$40,4,0)/VLOOKUP(L174,Lookups!$M$10:$P$40,4,0)),"")</f>
        <v/>
      </c>
      <c r="N174" s="15"/>
      <c r="O174" s="17"/>
      <c r="P174" s="19" t="str">
        <f>IF(N174&gt;0,(N174*VLOOKUP(Lookups!$K$11,Lookups!$M$10:$P$40,4,0)/VLOOKUP(O174,Lookups!$M$10:$P$40,4,0)),"")</f>
        <v/>
      </c>
      <c r="Q174" s="13" t="s">
        <v>2503</v>
      </c>
      <c r="R174" s="38" t="s">
        <v>621</v>
      </c>
      <c r="S174" s="13"/>
      <c r="T174" s="13"/>
      <c r="U174" s="120" t="s">
        <v>2506</v>
      </c>
      <c r="V174"/>
      <c r="W174"/>
      <c r="X174"/>
    </row>
    <row r="175" spans="1:24" s="40" customFormat="1" ht="60" hidden="1" customHeight="1" outlineLevel="2" x14ac:dyDescent="0.2">
      <c r="A175" s="37" t="s">
        <v>645</v>
      </c>
      <c r="B175" s="37" t="s">
        <v>636</v>
      </c>
      <c r="C175" s="37" t="s">
        <v>2197</v>
      </c>
      <c r="D175" s="45" t="s">
        <v>1819</v>
      </c>
      <c r="E175" s="13" t="s">
        <v>637</v>
      </c>
      <c r="F175" s="13" t="s">
        <v>667</v>
      </c>
      <c r="G175" s="13"/>
      <c r="H175" s="15">
        <v>3</v>
      </c>
      <c r="I175" s="17" t="s">
        <v>664</v>
      </c>
      <c r="J175" s="19">
        <f>IF(H175&gt;0,(H175*VLOOKUP(Lookups!$K$11,Lookups!$M$10:$P$40,4,0)/VLOOKUP(I175,Lookups!$M$10:$P$40,4,0)),"")</f>
        <v>3.2678520723538513</v>
      </c>
      <c r="K175" s="15"/>
      <c r="L175" s="17"/>
      <c r="M175" s="19" t="str">
        <f>IF(K175&gt;0,(K175*VLOOKUP(Lookups!$K$11,Lookups!$M$10:$P$40,4,0)/VLOOKUP(L175,Lookups!$M$10:$P$40,4,0)),"")</f>
        <v/>
      </c>
      <c r="N175" s="15"/>
      <c r="O175" s="17"/>
      <c r="P175" s="19" t="str">
        <f>IF(N175&gt;0,(N175*VLOOKUP(Lookups!$K$11,Lookups!$M$10:$P$40,4,0)/VLOOKUP(O175,Lookups!$M$10:$P$40,4,0)),"")</f>
        <v/>
      </c>
      <c r="Q175" s="13" t="s">
        <v>2503</v>
      </c>
      <c r="R175" s="38" t="s">
        <v>621</v>
      </c>
      <c r="S175" s="13"/>
      <c r="T175" s="13"/>
      <c r="U175" s="120" t="s">
        <v>2506</v>
      </c>
      <c r="V175"/>
      <c r="W175"/>
      <c r="X175"/>
    </row>
    <row r="176" spans="1:24" s="40" customFormat="1" ht="60" hidden="1" customHeight="1" outlineLevel="2" x14ac:dyDescent="0.2">
      <c r="A176" s="37" t="s">
        <v>645</v>
      </c>
      <c r="B176" s="37" t="s">
        <v>636</v>
      </c>
      <c r="C176" s="37" t="s">
        <v>2198</v>
      </c>
      <c r="D176" s="45" t="s">
        <v>1834</v>
      </c>
      <c r="E176" s="13" t="s">
        <v>637</v>
      </c>
      <c r="F176" s="13" t="s">
        <v>737</v>
      </c>
      <c r="G176" s="13" t="s">
        <v>1418</v>
      </c>
      <c r="H176" s="15">
        <v>3</v>
      </c>
      <c r="I176" s="17" t="s">
        <v>664</v>
      </c>
      <c r="J176" s="19">
        <f>IF(H176&gt;0,(H176*VLOOKUP(Lookups!$K$11,Lookups!$M$10:$P$40,4,0)/VLOOKUP(I176,Lookups!$M$10:$P$40,4,0)),"")</f>
        <v>3.2678520723538513</v>
      </c>
      <c r="K176" s="15"/>
      <c r="L176" s="17"/>
      <c r="M176" s="19" t="str">
        <f>IF(K176&gt;0,(K176*VLOOKUP(Lookups!$K$11,Lookups!$M$10:$P$40,4,0)/VLOOKUP(L176,Lookups!$M$10:$P$40,4,0)),"")</f>
        <v/>
      </c>
      <c r="N176" s="15"/>
      <c r="O176" s="17"/>
      <c r="P176" s="19" t="str">
        <f>IF(N176&gt;0,(N176*VLOOKUP(Lookups!$K$11,Lookups!$M$10:$P$40,4,0)/VLOOKUP(O176,Lookups!$M$10:$P$40,4,0)),"")</f>
        <v/>
      </c>
      <c r="Q176" s="13" t="s">
        <v>2503</v>
      </c>
      <c r="R176" s="38" t="s">
        <v>621</v>
      </c>
      <c r="S176" s="13"/>
      <c r="T176" s="13"/>
      <c r="U176" s="120" t="s">
        <v>2506</v>
      </c>
      <c r="V176"/>
      <c r="W176"/>
      <c r="X176"/>
    </row>
    <row r="177" spans="1:24" s="40" customFormat="1" ht="60" hidden="1" customHeight="1" outlineLevel="2" x14ac:dyDescent="0.2">
      <c r="A177" s="37" t="s">
        <v>645</v>
      </c>
      <c r="B177" s="37" t="s">
        <v>636</v>
      </c>
      <c r="C177" s="37" t="s">
        <v>2199</v>
      </c>
      <c r="D177" s="45" t="s">
        <v>1705</v>
      </c>
      <c r="E177" s="13" t="s">
        <v>637</v>
      </c>
      <c r="F177" s="13" t="s">
        <v>674</v>
      </c>
      <c r="G177" s="13"/>
      <c r="H177" s="15">
        <v>7</v>
      </c>
      <c r="I177" s="17" t="s">
        <v>664</v>
      </c>
      <c r="J177" s="19">
        <f>IF(H177&gt;0,(H177*VLOOKUP(Lookups!$K$11,Lookups!$M$10:$P$40,4,0)/VLOOKUP(I177,Lookups!$M$10:$P$40,4,0)),"")</f>
        <v>7.624988168825654</v>
      </c>
      <c r="K177" s="15"/>
      <c r="L177" s="17"/>
      <c r="M177" s="19" t="str">
        <f>IF(K177&gt;0,(K177*VLOOKUP(Lookups!$K$11,Lookups!$M$10:$P$40,4,0)/VLOOKUP(L177,Lookups!$M$10:$P$40,4,0)),"")</f>
        <v/>
      </c>
      <c r="N177" s="15"/>
      <c r="O177" s="17"/>
      <c r="P177" s="19" t="str">
        <f>IF(N177&gt;0,(N177*VLOOKUP(Lookups!$K$11,Lookups!$M$10:$P$40,4,0)/VLOOKUP(O177,Lookups!$M$10:$P$40,4,0)),"")</f>
        <v/>
      </c>
      <c r="Q177" s="13" t="s">
        <v>2503</v>
      </c>
      <c r="R177" s="38" t="s">
        <v>621</v>
      </c>
      <c r="S177" s="13"/>
      <c r="T177" s="13"/>
      <c r="U177" s="120" t="s">
        <v>2506</v>
      </c>
      <c r="V177"/>
      <c r="W177"/>
      <c r="X177"/>
    </row>
    <row r="178" spans="1:24" s="40" customFormat="1" ht="60" hidden="1" customHeight="1" outlineLevel="2" x14ac:dyDescent="0.2">
      <c r="A178" s="37" t="s">
        <v>645</v>
      </c>
      <c r="B178" s="37" t="s">
        <v>636</v>
      </c>
      <c r="C178" s="37" t="s">
        <v>2200</v>
      </c>
      <c r="D178" s="45" t="s">
        <v>1849</v>
      </c>
      <c r="E178" s="13" t="s">
        <v>637</v>
      </c>
      <c r="F178" s="13" t="s">
        <v>712</v>
      </c>
      <c r="G178" s="13"/>
      <c r="H178" s="15">
        <v>0</v>
      </c>
      <c r="I178" s="17" t="s">
        <v>664</v>
      </c>
      <c r="J178" s="19" t="str">
        <f>IF(H178&gt;0,(H178*VLOOKUP(Lookups!$K$11,Lookups!$M$10:$P$40,4,0)/VLOOKUP(I178,Lookups!$M$10:$P$40,4,0)),"")</f>
        <v/>
      </c>
      <c r="K178" s="15"/>
      <c r="L178" s="17"/>
      <c r="M178" s="19" t="str">
        <f>IF(K178&gt;0,(K178*VLOOKUP(Lookups!$K$11,Lookups!$M$10:$P$40,4,0)/VLOOKUP(L178,Lookups!$M$10:$P$40,4,0)),"")</f>
        <v/>
      </c>
      <c r="N178" s="15"/>
      <c r="O178" s="17"/>
      <c r="P178" s="19" t="str">
        <f>IF(N178&gt;0,(N178*VLOOKUP(Lookups!$K$11,Lookups!$M$10:$P$40,4,0)/VLOOKUP(O178,Lookups!$M$10:$P$40,4,0)),"")</f>
        <v/>
      </c>
      <c r="Q178" s="13" t="s">
        <v>2503</v>
      </c>
      <c r="R178" s="38" t="s">
        <v>621</v>
      </c>
      <c r="S178" s="13"/>
      <c r="T178" s="13"/>
      <c r="U178" s="120" t="s">
        <v>2506</v>
      </c>
      <c r="V178"/>
      <c r="W178"/>
      <c r="X178"/>
    </row>
    <row r="179" spans="1:24" s="40" customFormat="1" ht="60" hidden="1" customHeight="1" outlineLevel="1" x14ac:dyDescent="0.2">
      <c r="A179" s="46" t="s">
        <v>645</v>
      </c>
      <c r="B179" s="46" t="s">
        <v>636</v>
      </c>
      <c r="C179" s="46" t="s">
        <v>2201</v>
      </c>
      <c r="D179" s="46" t="s">
        <v>1801</v>
      </c>
      <c r="E179" s="13" t="s">
        <v>637</v>
      </c>
      <c r="F179" s="13" t="s">
        <v>614</v>
      </c>
      <c r="G179" s="13"/>
      <c r="H179" s="15">
        <v>265</v>
      </c>
      <c r="I179" s="17" t="s">
        <v>664</v>
      </c>
      <c r="J179" s="19">
        <f>IF(H179&gt;0,(H179*VLOOKUP(Lookups!$K$11,Lookups!$M$10:$P$40,4,0)/VLOOKUP(I179,Lookups!$M$10:$P$40,4,0)),"")</f>
        <v>288.66026639125687</v>
      </c>
      <c r="K179" s="15">
        <v>552</v>
      </c>
      <c r="L179" s="17" t="s">
        <v>664</v>
      </c>
      <c r="M179" s="19">
        <f>IF(K179&gt;0,(K179*VLOOKUP(Lookups!$K$11,Lookups!$M$10:$P$40,4,0)/VLOOKUP(L179,Lookups!$M$10:$P$40,4,0)),"")</f>
        <v>601.28478131310862</v>
      </c>
      <c r="N179" s="15">
        <v>1024</v>
      </c>
      <c r="O179" s="17" t="s">
        <v>664</v>
      </c>
      <c r="P179" s="19">
        <f>IF(N179&gt;0,(N179*VLOOKUP(Lookups!$K$11,Lookups!$M$10:$P$40,4,0)/VLOOKUP(O179,Lookups!$M$10:$P$40,4,0)),"")</f>
        <v>1115.4268406967813</v>
      </c>
      <c r="Q179" s="13" t="s">
        <v>2503</v>
      </c>
      <c r="R179" s="38" t="s">
        <v>621</v>
      </c>
      <c r="S179" s="13" t="s">
        <v>453</v>
      </c>
      <c r="T179" s="13" t="s">
        <v>1912</v>
      </c>
      <c r="U179" s="13" t="s">
        <v>2504</v>
      </c>
      <c r="V179"/>
      <c r="W179"/>
      <c r="X179"/>
    </row>
    <row r="180" spans="1:24" s="40" customFormat="1" ht="60" hidden="1" customHeight="1" outlineLevel="2" x14ac:dyDescent="0.2">
      <c r="A180" s="37" t="s">
        <v>645</v>
      </c>
      <c r="B180" s="37" t="s">
        <v>636</v>
      </c>
      <c r="C180" s="37" t="s">
        <v>2202</v>
      </c>
      <c r="D180" s="45" t="s">
        <v>2016</v>
      </c>
      <c r="E180" s="13" t="s">
        <v>637</v>
      </c>
      <c r="F180" s="13" t="s">
        <v>1348</v>
      </c>
      <c r="G180" s="13"/>
      <c r="H180" s="15">
        <v>117</v>
      </c>
      <c r="I180" s="17" t="s">
        <v>664</v>
      </c>
      <c r="J180" s="19">
        <f>IF(H180&gt;0,(H180*VLOOKUP(Lookups!$K$11,Lookups!$M$10:$P$40,4,0)/VLOOKUP(I180,Lookups!$M$10:$P$40,4,0)),"")</f>
        <v>127.4462308218002</v>
      </c>
      <c r="K180" s="15"/>
      <c r="L180" s="17"/>
      <c r="M180" s="19" t="str">
        <f>IF(K180&gt;0,(K180*VLOOKUP(Lookups!$K$11,Lookups!$M$10:$P$40,4,0)/VLOOKUP(L180,Lookups!$M$10:$P$40,4,0)),"")</f>
        <v/>
      </c>
      <c r="N180" s="15"/>
      <c r="O180" s="17"/>
      <c r="P180" s="19" t="str">
        <f>IF(N180&gt;0,(N180*VLOOKUP(Lookups!$K$11,Lookups!$M$10:$P$40,4,0)/VLOOKUP(O180,Lookups!$M$10:$P$40,4,0)),"")</f>
        <v/>
      </c>
      <c r="Q180" s="13" t="s">
        <v>2503</v>
      </c>
      <c r="R180" s="38" t="s">
        <v>621</v>
      </c>
      <c r="S180" s="13"/>
      <c r="T180" s="13"/>
      <c r="U180" s="120" t="s">
        <v>2506</v>
      </c>
      <c r="V180"/>
      <c r="W180"/>
      <c r="X180"/>
    </row>
    <row r="181" spans="1:24" s="40" customFormat="1" ht="60" hidden="1" customHeight="1" outlineLevel="2" x14ac:dyDescent="0.2">
      <c r="A181" s="37" t="s">
        <v>645</v>
      </c>
      <c r="B181" s="37" t="s">
        <v>636</v>
      </c>
      <c r="C181" s="37" t="s">
        <v>2203</v>
      </c>
      <c r="D181" s="45" t="s">
        <v>1820</v>
      </c>
      <c r="E181" s="13" t="s">
        <v>637</v>
      </c>
      <c r="F181" s="13" t="s">
        <v>667</v>
      </c>
      <c r="G181" s="13"/>
      <c r="H181" s="15">
        <v>8</v>
      </c>
      <c r="I181" s="17" t="s">
        <v>664</v>
      </c>
      <c r="J181" s="19">
        <f>IF(H181&gt;0,(H181*VLOOKUP(Lookups!$K$11,Lookups!$M$10:$P$40,4,0)/VLOOKUP(I181,Lookups!$M$10:$P$40,4,0)),"")</f>
        <v>8.7142721929436036</v>
      </c>
      <c r="K181" s="15"/>
      <c r="L181" s="17"/>
      <c r="M181" s="19" t="str">
        <f>IF(K181&gt;0,(K181*VLOOKUP(Lookups!$K$11,Lookups!$M$10:$P$40,4,0)/VLOOKUP(L181,Lookups!$M$10:$P$40,4,0)),"")</f>
        <v/>
      </c>
      <c r="N181" s="15"/>
      <c r="O181" s="17"/>
      <c r="P181" s="19" t="str">
        <f>IF(N181&gt;0,(N181*VLOOKUP(Lookups!$K$11,Lookups!$M$10:$P$40,4,0)/VLOOKUP(O181,Lookups!$M$10:$P$40,4,0)),"")</f>
        <v/>
      </c>
      <c r="Q181" s="13" t="s">
        <v>2503</v>
      </c>
      <c r="R181" s="38" t="s">
        <v>621</v>
      </c>
      <c r="S181" s="13"/>
      <c r="T181" s="13"/>
      <c r="U181" s="120" t="s">
        <v>2506</v>
      </c>
      <c r="V181"/>
      <c r="W181"/>
      <c r="X181"/>
    </row>
    <row r="182" spans="1:24" s="40" customFormat="1" ht="60" hidden="1" customHeight="1" outlineLevel="2" x14ac:dyDescent="0.2">
      <c r="A182" s="37" t="s">
        <v>645</v>
      </c>
      <c r="B182" s="37" t="s">
        <v>636</v>
      </c>
      <c r="C182" s="37" t="s">
        <v>2204</v>
      </c>
      <c r="D182" s="45" t="s">
        <v>1835</v>
      </c>
      <c r="E182" s="13" t="s">
        <v>637</v>
      </c>
      <c r="F182" s="13" t="s">
        <v>737</v>
      </c>
      <c r="G182" s="13" t="s">
        <v>1418</v>
      </c>
      <c r="H182" s="15">
        <v>23</v>
      </c>
      <c r="I182" s="17" t="s">
        <v>664</v>
      </c>
      <c r="J182" s="19">
        <f>IF(H182&gt;0,(H182*VLOOKUP(Lookups!$K$11,Lookups!$M$10:$P$40,4,0)/VLOOKUP(I182,Lookups!$M$10:$P$40,4,0)),"")</f>
        <v>25.053532554712859</v>
      </c>
      <c r="K182" s="15"/>
      <c r="L182" s="17"/>
      <c r="M182" s="19" t="str">
        <f>IF(K182&gt;0,(K182*VLOOKUP(Lookups!$K$11,Lookups!$M$10:$P$40,4,0)/VLOOKUP(L182,Lookups!$M$10:$P$40,4,0)),"")</f>
        <v/>
      </c>
      <c r="N182" s="15"/>
      <c r="O182" s="17"/>
      <c r="P182" s="19" t="str">
        <f>IF(N182&gt;0,(N182*VLOOKUP(Lookups!$K$11,Lookups!$M$10:$P$40,4,0)/VLOOKUP(O182,Lookups!$M$10:$P$40,4,0)),"")</f>
        <v/>
      </c>
      <c r="Q182" s="13" t="s">
        <v>2503</v>
      </c>
      <c r="R182" s="38" t="s">
        <v>621</v>
      </c>
      <c r="S182" s="13"/>
      <c r="T182" s="13"/>
      <c r="U182" s="120" t="s">
        <v>2506</v>
      </c>
      <c r="V182"/>
      <c r="W182"/>
      <c r="X182"/>
    </row>
    <row r="183" spans="1:24" s="40" customFormat="1" ht="60" hidden="1" customHeight="1" outlineLevel="2" x14ac:dyDescent="0.2">
      <c r="A183" s="37" t="s">
        <v>645</v>
      </c>
      <c r="B183" s="37" t="s">
        <v>636</v>
      </c>
      <c r="C183" s="37" t="s">
        <v>2205</v>
      </c>
      <c r="D183" s="45" t="s">
        <v>1706</v>
      </c>
      <c r="E183" s="13" t="s">
        <v>637</v>
      </c>
      <c r="F183" s="13" t="s">
        <v>674</v>
      </c>
      <c r="G183" s="13"/>
      <c r="H183" s="15">
        <v>35</v>
      </c>
      <c r="I183" s="17" t="s">
        <v>664</v>
      </c>
      <c r="J183" s="19">
        <f>IF(H183&gt;0,(H183*VLOOKUP(Lookups!$K$11,Lookups!$M$10:$P$40,4,0)/VLOOKUP(I183,Lookups!$M$10:$P$40,4,0)),"")</f>
        <v>38.124940844128268</v>
      </c>
      <c r="K183" s="15"/>
      <c r="L183" s="17"/>
      <c r="M183" s="19" t="str">
        <f>IF(K183&gt;0,(K183*VLOOKUP(Lookups!$K$11,Lookups!$M$10:$P$40,4,0)/VLOOKUP(L183,Lookups!$M$10:$P$40,4,0)),"")</f>
        <v/>
      </c>
      <c r="N183" s="15"/>
      <c r="O183" s="17"/>
      <c r="P183" s="19" t="str">
        <f>IF(N183&gt;0,(N183*VLOOKUP(Lookups!$K$11,Lookups!$M$10:$P$40,4,0)/VLOOKUP(O183,Lookups!$M$10:$P$40,4,0)),"")</f>
        <v/>
      </c>
      <c r="Q183" s="13" t="s">
        <v>2503</v>
      </c>
      <c r="R183" s="38" t="s">
        <v>621</v>
      </c>
      <c r="S183" s="13"/>
      <c r="T183" s="13"/>
      <c r="U183" s="120" t="s">
        <v>2506</v>
      </c>
      <c r="V183"/>
      <c r="W183"/>
      <c r="X183"/>
    </row>
    <row r="184" spans="1:24" s="40" customFormat="1" ht="60" hidden="1" customHeight="1" outlineLevel="2" x14ac:dyDescent="0.2">
      <c r="A184" s="37" t="s">
        <v>645</v>
      </c>
      <c r="B184" s="37" t="s">
        <v>636</v>
      </c>
      <c r="C184" s="37" t="s">
        <v>2206</v>
      </c>
      <c r="D184" s="45" t="s">
        <v>1850</v>
      </c>
      <c r="E184" s="13" t="s">
        <v>637</v>
      </c>
      <c r="F184" s="13" t="s">
        <v>712</v>
      </c>
      <c r="G184" s="13"/>
      <c r="H184" s="15">
        <v>82</v>
      </c>
      <c r="I184" s="17" t="s">
        <v>664</v>
      </c>
      <c r="J184" s="19">
        <f>IF(H184&gt;0,(H184*VLOOKUP(Lookups!$K$11,Lookups!$M$10:$P$40,4,0)/VLOOKUP(I184,Lookups!$M$10:$P$40,4,0)),"")</f>
        <v>89.321289977671938</v>
      </c>
      <c r="K184" s="15"/>
      <c r="L184" s="17"/>
      <c r="M184" s="19" t="str">
        <f>IF(K184&gt;0,(K184*VLOOKUP(Lookups!$K$11,Lookups!$M$10:$P$40,4,0)/VLOOKUP(L184,Lookups!$M$10:$P$40,4,0)),"")</f>
        <v/>
      </c>
      <c r="N184" s="15"/>
      <c r="O184" s="17"/>
      <c r="P184" s="19" t="str">
        <f>IF(N184&gt;0,(N184*VLOOKUP(Lookups!$K$11,Lookups!$M$10:$P$40,4,0)/VLOOKUP(O184,Lookups!$M$10:$P$40,4,0)),"")</f>
        <v/>
      </c>
      <c r="Q184" s="13" t="s">
        <v>2503</v>
      </c>
      <c r="R184" s="38" t="s">
        <v>621</v>
      </c>
      <c r="S184" s="13"/>
      <c r="T184" s="13"/>
      <c r="U184" s="120" t="s">
        <v>2506</v>
      </c>
      <c r="V184"/>
      <c r="W184"/>
      <c r="X184"/>
    </row>
    <row r="185" spans="1:24" s="40" customFormat="1" ht="59.25" customHeight="1" collapsed="1" x14ac:dyDescent="0.2">
      <c r="A185" s="42" t="s">
        <v>645</v>
      </c>
      <c r="B185" s="42" t="s">
        <v>1421</v>
      </c>
      <c r="C185" s="42" t="s">
        <v>2511</v>
      </c>
      <c r="D185" s="42" t="s">
        <v>2517</v>
      </c>
      <c r="E185" s="13" t="s">
        <v>628</v>
      </c>
      <c r="F185" s="13" t="s">
        <v>1348</v>
      </c>
      <c r="G185" s="13"/>
      <c r="H185" s="15">
        <v>38.43</v>
      </c>
      <c r="I185" s="17" t="s">
        <v>727</v>
      </c>
      <c r="J185" s="19">
        <f>IF(H185&gt;0,(H185*VLOOKUP(Lookups!$K$11,Lookups!$M$10:$P$40,4,0)/VLOOKUP(I185,Lookups!$M$10:$P$40,4,0)),"")</f>
        <v>39.630476339999994</v>
      </c>
      <c r="K185" s="15"/>
      <c r="L185" s="17"/>
      <c r="M185" s="19" t="str">
        <f>IF(K185&gt;0,(K185*VLOOKUP(Lookups!$K$11,Lookups!$M$10:$P$40,4,0)/VLOOKUP(L185,Lookups!$M$10:$P$40,4,0)),"")</f>
        <v/>
      </c>
      <c r="N185" s="15"/>
      <c r="O185" s="17"/>
      <c r="P185" s="19" t="str">
        <f>IF(N185&gt;0,(N185*VLOOKUP(Lookups!$K$11,Lookups!$M$10:$P$40,4,0)/VLOOKUP(O185,Lookups!$M$10:$P$40,4,0)),"")</f>
        <v/>
      </c>
      <c r="Q185" s="13" t="s">
        <v>2512</v>
      </c>
      <c r="R185" s="38" t="s">
        <v>621</v>
      </c>
      <c r="S185" s="13" t="s">
        <v>2519</v>
      </c>
      <c r="T185" s="13" t="s">
        <v>1911</v>
      </c>
      <c r="U185" s="13" t="s">
        <v>2513</v>
      </c>
      <c r="V185"/>
      <c r="W185"/>
      <c r="X185"/>
    </row>
    <row r="186" spans="1:24" s="40" customFormat="1" ht="59.25" hidden="1" customHeight="1" outlineLevel="1" collapsed="1" x14ac:dyDescent="0.2">
      <c r="A186" s="46" t="s">
        <v>645</v>
      </c>
      <c r="B186" s="46" t="s">
        <v>1421</v>
      </c>
      <c r="C186" s="46" t="s">
        <v>2514</v>
      </c>
      <c r="D186" s="46" t="s">
        <v>2516</v>
      </c>
      <c r="E186" s="13" t="s">
        <v>628</v>
      </c>
      <c r="F186" s="13" t="s">
        <v>1348</v>
      </c>
      <c r="G186" s="13"/>
      <c r="H186" s="15">
        <v>58.16</v>
      </c>
      <c r="I186" s="17" t="s">
        <v>727</v>
      </c>
      <c r="J186" s="19">
        <f>IF(H186&gt;0,(H186*VLOOKUP(Lookups!$K$11,Lookups!$M$10:$P$40,4,0)/VLOOKUP(I186,Lookups!$M$10:$P$40,4,0)),"")</f>
        <v>59.976802079999985</v>
      </c>
      <c r="K186" s="15"/>
      <c r="L186" s="17"/>
      <c r="M186" s="19" t="str">
        <f>IF(K186&gt;0,(K186*VLOOKUP(Lookups!$K$11,Lookups!$M$10:$P$40,4,0)/VLOOKUP(L186,Lookups!$M$10:$P$40,4,0)),"")</f>
        <v/>
      </c>
      <c r="N186" s="15"/>
      <c r="O186" s="17"/>
      <c r="P186" s="19" t="str">
        <f>IF(N186&gt;0,(N186*VLOOKUP(Lookups!$K$11,Lookups!$M$10:$P$40,4,0)/VLOOKUP(O186,Lookups!$M$10:$P$40,4,0)),"")</f>
        <v/>
      </c>
      <c r="Q186" s="13" t="s">
        <v>2512</v>
      </c>
      <c r="R186" s="38" t="s">
        <v>621</v>
      </c>
      <c r="S186" s="13" t="s">
        <v>2518</v>
      </c>
      <c r="T186" s="13" t="s">
        <v>1911</v>
      </c>
      <c r="U186" s="13" t="s">
        <v>2513</v>
      </c>
      <c r="V186"/>
      <c r="W186"/>
      <c r="X186"/>
    </row>
    <row r="187" spans="1:24" s="40" customFormat="1" ht="59.25" hidden="1" customHeight="1" outlineLevel="1" collapsed="1" x14ac:dyDescent="0.2">
      <c r="A187" s="46" t="s">
        <v>645</v>
      </c>
      <c r="B187" s="46" t="s">
        <v>1421</v>
      </c>
      <c r="C187" s="46" t="s">
        <v>2515</v>
      </c>
      <c r="D187" s="46" t="s">
        <v>2521</v>
      </c>
      <c r="E187" s="13" t="s">
        <v>628</v>
      </c>
      <c r="F187" s="13" t="s">
        <v>1348</v>
      </c>
      <c r="G187" s="13"/>
      <c r="H187" s="15">
        <v>30.41</v>
      </c>
      <c r="I187" s="17" t="s">
        <v>727</v>
      </c>
      <c r="J187" s="19">
        <f>IF(H187&gt;0,(H187*VLOOKUP(Lookups!$K$11,Lookups!$M$10:$P$40,4,0)/VLOOKUP(I187,Lookups!$M$10:$P$40,4,0)),"")</f>
        <v>31.359947579999996</v>
      </c>
      <c r="K187" s="15"/>
      <c r="L187" s="17"/>
      <c r="M187" s="19" t="str">
        <f>IF(K187&gt;0,(K187*VLOOKUP(Lookups!$K$11,Lookups!$M$10:$P$40,4,0)/VLOOKUP(L187,Lookups!$M$10:$P$40,4,0)),"")</f>
        <v/>
      </c>
      <c r="N187" s="15"/>
      <c r="O187" s="17"/>
      <c r="P187" s="19" t="str">
        <f>IF(N187&gt;0,(N187*VLOOKUP(Lookups!$K$11,Lookups!$M$10:$P$40,4,0)/VLOOKUP(O187,Lookups!$M$10:$P$40,4,0)),"")</f>
        <v/>
      </c>
      <c r="Q187" s="13" t="s">
        <v>2512</v>
      </c>
      <c r="R187" s="38" t="s">
        <v>621</v>
      </c>
      <c r="S187" s="13" t="s">
        <v>2520</v>
      </c>
      <c r="T187" s="13" t="s">
        <v>1911</v>
      </c>
      <c r="U187" s="13" t="s">
        <v>2513</v>
      </c>
      <c r="V187"/>
      <c r="W187"/>
      <c r="X187"/>
    </row>
    <row r="190" spans="1:24" ht="25.5" customHeight="1" x14ac:dyDescent="0.2">
      <c r="A190" s="179" t="s">
        <v>1231</v>
      </c>
      <c r="D190" s="80"/>
      <c r="I190" s="60" t="s">
        <v>729</v>
      </c>
      <c r="L190" s="60" t="s">
        <v>729</v>
      </c>
      <c r="O190" s="60" t="s">
        <v>729</v>
      </c>
      <c r="R190" s="76" t="s">
        <v>616</v>
      </c>
      <c r="T190" s="5" t="s">
        <v>1911</v>
      </c>
    </row>
    <row r="191" spans="1:24" x14ac:dyDescent="0.2">
      <c r="A191" s="180"/>
      <c r="D191" s="80"/>
      <c r="I191" s="60" t="s">
        <v>728</v>
      </c>
      <c r="L191" s="60" t="s">
        <v>728</v>
      </c>
      <c r="O191" s="60" t="s">
        <v>728</v>
      </c>
      <c r="R191" s="76" t="s">
        <v>619</v>
      </c>
      <c r="T191" s="5" t="s">
        <v>1912</v>
      </c>
    </row>
    <row r="192" spans="1:24" x14ac:dyDescent="0.2">
      <c r="A192" s="180"/>
      <c r="D192" s="80"/>
      <c r="I192" s="60" t="s">
        <v>727</v>
      </c>
      <c r="L192" s="60" t="s">
        <v>727</v>
      </c>
      <c r="O192" s="60" t="s">
        <v>727</v>
      </c>
      <c r="R192" s="76" t="s">
        <v>621</v>
      </c>
    </row>
    <row r="193" spans="1:16" x14ac:dyDescent="0.2">
      <c r="A193" s="180"/>
      <c r="D193" s="80"/>
      <c r="I193" s="60" t="s">
        <v>726</v>
      </c>
      <c r="L193" s="60" t="s">
        <v>726</v>
      </c>
      <c r="O193" s="60" t="s">
        <v>726</v>
      </c>
    </row>
    <row r="194" spans="1:16" x14ac:dyDescent="0.2">
      <c r="A194" s="180"/>
      <c r="D194" s="80"/>
      <c r="I194" s="60" t="s">
        <v>665</v>
      </c>
      <c r="L194" s="60" t="s">
        <v>665</v>
      </c>
      <c r="O194" s="60" t="s">
        <v>665</v>
      </c>
    </row>
    <row r="195" spans="1:16" x14ac:dyDescent="0.2">
      <c r="A195" s="180"/>
      <c r="D195" s="80"/>
      <c r="I195" s="60" t="s">
        <v>664</v>
      </c>
      <c r="L195" s="60" t="s">
        <v>664</v>
      </c>
      <c r="O195" s="60" t="s">
        <v>664</v>
      </c>
    </row>
    <row r="196" spans="1:16" x14ac:dyDescent="0.2">
      <c r="A196" s="180"/>
      <c r="D196" s="80"/>
      <c r="I196" s="60" t="s">
        <v>663</v>
      </c>
      <c r="L196" s="60" t="s">
        <v>663</v>
      </c>
      <c r="O196" s="60" t="s">
        <v>663</v>
      </c>
    </row>
    <row r="197" spans="1:16" x14ac:dyDescent="0.2">
      <c r="A197" s="180"/>
      <c r="D197" s="80"/>
      <c r="I197" s="60" t="s">
        <v>662</v>
      </c>
      <c r="L197" s="60" t="s">
        <v>662</v>
      </c>
      <c r="O197" s="60" t="s">
        <v>662</v>
      </c>
    </row>
    <row r="198" spans="1:16" x14ac:dyDescent="0.2">
      <c r="A198" s="180"/>
      <c r="D198" s="80"/>
      <c r="I198" s="60" t="s">
        <v>661</v>
      </c>
      <c r="L198" s="60" t="s">
        <v>661</v>
      </c>
      <c r="O198" s="60" t="s">
        <v>661</v>
      </c>
    </row>
    <row r="199" spans="1:16" x14ac:dyDescent="0.2">
      <c r="A199" s="180"/>
      <c r="D199" s="80"/>
      <c r="I199" s="60" t="s">
        <v>660</v>
      </c>
      <c r="L199" s="60" t="s">
        <v>660</v>
      </c>
      <c r="O199" s="60" t="s">
        <v>660</v>
      </c>
    </row>
    <row r="200" spans="1:16" x14ac:dyDescent="0.2">
      <c r="A200" s="180"/>
      <c r="D200" s="80"/>
      <c r="I200" s="60" t="s">
        <v>659</v>
      </c>
      <c r="L200" s="60" t="s">
        <v>659</v>
      </c>
      <c r="O200" s="60" t="s">
        <v>659</v>
      </c>
    </row>
    <row r="201" spans="1:16" x14ac:dyDescent="0.2">
      <c r="A201" s="180"/>
      <c r="D201" s="80"/>
      <c r="I201" s="60" t="s">
        <v>658</v>
      </c>
      <c r="L201" s="60" t="s">
        <v>658</v>
      </c>
      <c r="O201" s="60" t="s">
        <v>658</v>
      </c>
    </row>
    <row r="202" spans="1:16" x14ac:dyDescent="0.2">
      <c r="A202" s="180"/>
      <c r="D202" s="80"/>
      <c r="I202" s="60" t="s">
        <v>657</v>
      </c>
      <c r="L202" s="60" t="s">
        <v>657</v>
      </c>
      <c r="O202" s="60" t="s">
        <v>657</v>
      </c>
    </row>
    <row r="203" spans="1:16" x14ac:dyDescent="0.2">
      <c r="A203" s="180"/>
      <c r="D203" s="80"/>
      <c r="I203" s="60" t="s">
        <v>656</v>
      </c>
      <c r="L203" s="60" t="s">
        <v>656</v>
      </c>
      <c r="O203" s="60" t="s">
        <v>656</v>
      </c>
    </row>
    <row r="204" spans="1:16" x14ac:dyDescent="0.2">
      <c r="A204" s="180"/>
      <c r="D204" s="80"/>
      <c r="I204" s="60" t="s">
        <v>653</v>
      </c>
      <c r="L204" s="60" t="s">
        <v>653</v>
      </c>
      <c r="O204" s="60" t="s">
        <v>653</v>
      </c>
    </row>
    <row r="205" spans="1:16" x14ac:dyDescent="0.2">
      <c r="A205" s="180"/>
      <c r="D205" s="80"/>
      <c r="I205" s="60" t="s">
        <v>654</v>
      </c>
      <c r="L205" s="60" t="s">
        <v>654</v>
      </c>
      <c r="O205" s="60" t="s">
        <v>654</v>
      </c>
      <c r="P205" s="79"/>
    </row>
    <row r="206" spans="1:16" x14ac:dyDescent="0.2">
      <c r="A206" s="180"/>
      <c r="D206" s="80"/>
      <c r="I206" s="60" t="s">
        <v>655</v>
      </c>
      <c r="L206" s="60" t="s">
        <v>655</v>
      </c>
      <c r="O206" s="60" t="s">
        <v>655</v>
      </c>
      <c r="P206" s="79"/>
    </row>
    <row r="207" spans="1:16" x14ac:dyDescent="0.2">
      <c r="A207" s="180"/>
      <c r="D207" s="80"/>
      <c r="I207" s="60" t="s">
        <v>652</v>
      </c>
      <c r="J207" s="79"/>
      <c r="L207" s="60" t="s">
        <v>652</v>
      </c>
      <c r="M207" s="79"/>
      <c r="O207" s="60" t="s">
        <v>652</v>
      </c>
      <c r="P207" s="79"/>
    </row>
    <row r="208" spans="1:16" x14ac:dyDescent="0.2">
      <c r="A208" s="180"/>
      <c r="D208" s="80"/>
      <c r="I208" s="60" t="s">
        <v>651</v>
      </c>
      <c r="J208" s="79"/>
      <c r="L208" s="60" t="s">
        <v>651</v>
      </c>
      <c r="M208" s="79"/>
      <c r="O208" s="60" t="s">
        <v>651</v>
      </c>
      <c r="P208" s="79"/>
    </row>
    <row r="209" spans="1:16" x14ac:dyDescent="0.2">
      <c r="A209" s="180"/>
      <c r="D209" s="80"/>
      <c r="I209" s="60" t="s">
        <v>650</v>
      </c>
      <c r="J209" s="79"/>
      <c r="L209" s="60" t="s">
        <v>650</v>
      </c>
      <c r="M209" s="79"/>
      <c r="O209" s="60" t="s">
        <v>650</v>
      </c>
      <c r="P209" s="79"/>
    </row>
    <row r="210" spans="1:16" x14ac:dyDescent="0.2">
      <c r="A210" s="180"/>
      <c r="D210" s="80"/>
      <c r="I210" s="60" t="s">
        <v>649</v>
      </c>
      <c r="J210" s="79"/>
      <c r="L210" s="60" t="s">
        <v>649</v>
      </c>
      <c r="M210" s="79"/>
      <c r="O210" s="60" t="s">
        <v>649</v>
      </c>
      <c r="P210" s="79"/>
    </row>
    <row r="211" spans="1:16" x14ac:dyDescent="0.2">
      <c r="A211" s="180"/>
      <c r="D211" s="80"/>
      <c r="I211" s="60" t="s">
        <v>725</v>
      </c>
      <c r="J211" s="79"/>
      <c r="L211" s="60" t="s">
        <v>725</v>
      </c>
      <c r="M211" s="79"/>
      <c r="O211" s="60" t="s">
        <v>725</v>
      </c>
      <c r="P211" s="79"/>
    </row>
    <row r="212" spans="1:16" x14ac:dyDescent="0.2">
      <c r="A212" s="180"/>
      <c r="D212" s="80"/>
      <c r="I212" s="60" t="s">
        <v>724</v>
      </c>
      <c r="J212" s="79"/>
      <c r="L212" s="60" t="s">
        <v>724</v>
      </c>
      <c r="M212" s="79"/>
      <c r="O212" s="60" t="s">
        <v>724</v>
      </c>
      <c r="P212" s="79"/>
    </row>
    <row r="213" spans="1:16" x14ac:dyDescent="0.2">
      <c r="A213" s="180"/>
      <c r="D213" s="80"/>
      <c r="I213" s="60" t="s">
        <v>723</v>
      </c>
      <c r="J213" s="79"/>
      <c r="L213" s="60" t="s">
        <v>723</v>
      </c>
      <c r="M213" s="79"/>
      <c r="O213" s="60" t="s">
        <v>723</v>
      </c>
      <c r="P213" s="79"/>
    </row>
    <row r="214" spans="1:16" x14ac:dyDescent="0.2">
      <c r="A214" s="181"/>
      <c r="D214" s="80"/>
      <c r="I214" s="60" t="s">
        <v>722</v>
      </c>
      <c r="J214" s="79"/>
      <c r="L214" s="60" t="s">
        <v>722</v>
      </c>
      <c r="M214" s="79"/>
      <c r="O214" s="60" t="s">
        <v>722</v>
      </c>
      <c r="P214" s="79"/>
    </row>
    <row r="215" spans="1:16" x14ac:dyDescent="0.2">
      <c r="D215" s="80"/>
      <c r="I215" s="60" t="s">
        <v>721</v>
      </c>
      <c r="J215" s="79"/>
      <c r="L215" s="60" t="s">
        <v>721</v>
      </c>
      <c r="M215" s="79"/>
      <c r="O215" s="60" t="s">
        <v>721</v>
      </c>
      <c r="P215" s="79"/>
    </row>
    <row r="216" spans="1:16" x14ac:dyDescent="0.2">
      <c r="D216" s="80"/>
      <c r="H216" s="79"/>
      <c r="I216" s="60" t="s">
        <v>720</v>
      </c>
      <c r="J216" s="79"/>
      <c r="L216" s="60" t="s">
        <v>720</v>
      </c>
      <c r="M216" s="79"/>
      <c r="O216" s="60" t="s">
        <v>720</v>
      </c>
      <c r="P216" s="79"/>
    </row>
    <row r="217" spans="1:16" x14ac:dyDescent="0.2">
      <c r="D217" s="80"/>
      <c r="H217" s="79"/>
      <c r="I217" s="79"/>
      <c r="J217" s="79"/>
      <c r="K217" s="79"/>
      <c r="L217" s="79"/>
      <c r="M217" s="79"/>
      <c r="N217" s="79"/>
      <c r="O217" s="79"/>
      <c r="P217" s="79"/>
    </row>
    <row r="218" spans="1:16" x14ac:dyDescent="0.2">
      <c r="D218" s="80"/>
      <c r="H218" s="79"/>
      <c r="I218" s="79"/>
      <c r="J218" s="79"/>
      <c r="K218" s="79"/>
      <c r="L218" s="79"/>
      <c r="M218" s="79"/>
      <c r="N218" s="79"/>
      <c r="O218" s="79"/>
      <c r="P218" s="79"/>
    </row>
    <row r="219" spans="1:16" x14ac:dyDescent="0.2">
      <c r="D219" s="80"/>
      <c r="H219" s="79"/>
      <c r="I219" s="79"/>
      <c r="J219" s="79"/>
      <c r="K219" s="79"/>
      <c r="L219" s="79"/>
      <c r="M219" s="79"/>
      <c r="N219" s="79"/>
      <c r="O219" s="79"/>
      <c r="P219" s="79"/>
    </row>
    <row r="220" spans="1:16" x14ac:dyDescent="0.2">
      <c r="D220" s="80"/>
      <c r="H220" s="79"/>
      <c r="I220" s="79"/>
      <c r="J220" s="79"/>
      <c r="K220" s="79"/>
      <c r="L220" s="79"/>
      <c r="M220" s="79"/>
      <c r="N220" s="79"/>
      <c r="O220" s="79"/>
      <c r="P220" s="79"/>
    </row>
    <row r="221" spans="1:16" x14ac:dyDescent="0.2">
      <c r="D221" s="80"/>
      <c r="H221" s="79"/>
      <c r="I221" s="79"/>
      <c r="J221" s="79"/>
      <c r="K221" s="79"/>
      <c r="L221" s="79"/>
      <c r="M221" s="79"/>
      <c r="N221" s="79"/>
      <c r="O221" s="79"/>
      <c r="P221" s="79"/>
    </row>
    <row r="222" spans="1:16" x14ac:dyDescent="0.2">
      <c r="D222" s="80"/>
      <c r="H222" s="79"/>
      <c r="I222" s="79"/>
      <c r="J222" s="79"/>
      <c r="K222" s="79"/>
      <c r="L222" s="79"/>
      <c r="M222" s="79"/>
      <c r="N222" s="79"/>
      <c r="O222" s="79"/>
      <c r="P222" s="79"/>
    </row>
    <row r="223" spans="1:16" x14ac:dyDescent="0.2">
      <c r="D223" s="80"/>
      <c r="H223" s="79"/>
      <c r="I223" s="79"/>
      <c r="J223" s="79"/>
      <c r="K223" s="79"/>
      <c r="L223" s="79"/>
      <c r="M223" s="79"/>
      <c r="N223" s="79"/>
      <c r="O223" s="79"/>
      <c r="P223" s="79"/>
    </row>
    <row r="224" spans="1:16" x14ac:dyDescent="0.2">
      <c r="D224" s="80"/>
      <c r="H224" s="79"/>
      <c r="I224" s="79"/>
      <c r="J224" s="79"/>
      <c r="K224" s="79"/>
      <c r="L224" s="79"/>
      <c r="M224" s="79"/>
      <c r="N224" s="79"/>
      <c r="O224" s="79"/>
      <c r="P224" s="79"/>
    </row>
    <row r="225" spans="4:16" x14ac:dyDescent="0.2">
      <c r="D225" s="80"/>
      <c r="H225" s="79"/>
      <c r="I225" s="79"/>
      <c r="J225" s="79"/>
      <c r="K225" s="79"/>
      <c r="L225" s="79"/>
      <c r="M225" s="79"/>
      <c r="N225" s="79"/>
      <c r="O225" s="79"/>
      <c r="P225" s="79"/>
    </row>
    <row r="226" spans="4:16" x14ac:dyDescent="0.2">
      <c r="D226" s="80"/>
      <c r="H226" s="79"/>
      <c r="I226" s="79"/>
      <c r="J226" s="79"/>
      <c r="K226" s="79"/>
      <c r="L226" s="79"/>
      <c r="M226" s="79"/>
      <c r="N226" s="79"/>
      <c r="O226" s="79"/>
      <c r="P226" s="79"/>
    </row>
    <row r="227" spans="4:16" x14ac:dyDescent="0.2">
      <c r="D227" s="80"/>
      <c r="H227" s="79"/>
      <c r="I227" s="79"/>
      <c r="J227" s="79"/>
      <c r="K227" s="79"/>
      <c r="L227" s="79"/>
      <c r="M227" s="79"/>
      <c r="N227" s="79"/>
      <c r="O227" s="79"/>
      <c r="P227" s="79"/>
    </row>
    <row r="228" spans="4:16" x14ac:dyDescent="0.2">
      <c r="D228" s="80"/>
      <c r="H228" s="79"/>
      <c r="I228" s="79"/>
      <c r="J228" s="79"/>
      <c r="K228" s="79"/>
      <c r="L228" s="79"/>
      <c r="M228" s="79"/>
      <c r="N228" s="79"/>
      <c r="O228" s="79"/>
      <c r="P228" s="79"/>
    </row>
    <row r="229" spans="4:16" x14ac:dyDescent="0.2">
      <c r="D229" s="80"/>
      <c r="H229" s="79"/>
      <c r="I229" s="79"/>
      <c r="J229" s="79"/>
      <c r="K229" s="79"/>
      <c r="L229" s="79"/>
      <c r="M229" s="79"/>
      <c r="N229" s="79"/>
      <c r="O229" s="79"/>
      <c r="P229" s="79"/>
    </row>
    <row r="230" spans="4:16" x14ac:dyDescent="0.2">
      <c r="D230" s="80"/>
      <c r="H230" s="79"/>
      <c r="I230" s="79"/>
      <c r="J230" s="79"/>
      <c r="K230" s="79"/>
      <c r="L230" s="79"/>
      <c r="M230" s="79"/>
      <c r="N230" s="79"/>
      <c r="O230" s="79"/>
      <c r="P230" s="79"/>
    </row>
    <row r="231" spans="4:16" x14ac:dyDescent="0.2">
      <c r="D231" s="80"/>
      <c r="H231" s="79"/>
      <c r="I231" s="79"/>
      <c r="J231" s="79"/>
      <c r="K231" s="79"/>
      <c r="L231" s="79"/>
      <c r="M231" s="79"/>
      <c r="N231" s="79"/>
      <c r="O231" s="79"/>
      <c r="P231" s="79"/>
    </row>
    <row r="232" spans="4:16" x14ac:dyDescent="0.2">
      <c r="D232" s="80"/>
      <c r="H232" s="79"/>
      <c r="I232" s="79"/>
      <c r="J232" s="79"/>
      <c r="K232" s="79"/>
      <c r="L232" s="79"/>
      <c r="M232" s="79"/>
      <c r="N232" s="79"/>
      <c r="O232" s="79"/>
      <c r="P232" s="79"/>
    </row>
    <row r="233" spans="4:16" x14ac:dyDescent="0.2">
      <c r="D233" s="80"/>
      <c r="H233" s="79"/>
      <c r="I233" s="79"/>
      <c r="J233" s="79"/>
      <c r="K233" s="79"/>
      <c r="L233" s="79"/>
      <c r="M233" s="79"/>
      <c r="N233" s="79"/>
      <c r="O233" s="79"/>
      <c r="P233" s="79"/>
    </row>
    <row r="234" spans="4:16" x14ac:dyDescent="0.2">
      <c r="D234" s="80"/>
      <c r="H234" s="79"/>
      <c r="I234" s="79"/>
      <c r="J234" s="79"/>
      <c r="K234" s="79"/>
      <c r="L234" s="79"/>
      <c r="M234" s="79"/>
      <c r="N234" s="79"/>
      <c r="O234" s="79"/>
      <c r="P234" s="79"/>
    </row>
    <row r="235" spans="4:16" x14ac:dyDescent="0.2">
      <c r="D235" s="80"/>
      <c r="H235" s="79"/>
      <c r="I235" s="79"/>
      <c r="J235" s="79"/>
      <c r="K235" s="79"/>
      <c r="L235" s="79"/>
      <c r="M235" s="79"/>
      <c r="N235" s="79"/>
      <c r="O235" s="79"/>
      <c r="P235" s="79"/>
    </row>
    <row r="236" spans="4:16" x14ac:dyDescent="0.2">
      <c r="D236" s="80"/>
      <c r="H236" s="79"/>
      <c r="I236" s="79"/>
      <c r="J236" s="79"/>
      <c r="K236" s="79"/>
      <c r="L236" s="79"/>
      <c r="M236" s="79"/>
      <c r="N236" s="79"/>
      <c r="O236" s="79"/>
      <c r="P236" s="79"/>
    </row>
    <row r="237" spans="4:16" x14ac:dyDescent="0.2">
      <c r="D237" s="80"/>
      <c r="H237" s="79"/>
      <c r="I237" s="79"/>
      <c r="J237" s="79"/>
      <c r="K237" s="79"/>
      <c r="L237" s="79"/>
      <c r="M237" s="79"/>
      <c r="N237" s="79"/>
      <c r="O237" s="79"/>
      <c r="P237" s="79"/>
    </row>
    <row r="238" spans="4:16" x14ac:dyDescent="0.2">
      <c r="D238" s="80"/>
      <c r="H238" s="79"/>
      <c r="I238" s="79"/>
      <c r="J238" s="79"/>
      <c r="K238" s="79"/>
      <c r="L238" s="79"/>
      <c r="M238" s="79"/>
      <c r="N238" s="79"/>
      <c r="O238" s="79"/>
      <c r="P238" s="79"/>
    </row>
    <row r="239" spans="4:16" x14ac:dyDescent="0.2">
      <c r="D239" s="80"/>
      <c r="H239" s="79"/>
      <c r="I239" s="79"/>
      <c r="J239" s="79"/>
      <c r="K239" s="79"/>
      <c r="L239" s="79"/>
      <c r="M239" s="79"/>
      <c r="N239" s="79"/>
      <c r="O239" s="79"/>
      <c r="P239" s="79"/>
    </row>
    <row r="240" spans="4:16" x14ac:dyDescent="0.2">
      <c r="D240" s="80"/>
      <c r="H240" s="79"/>
      <c r="I240" s="79"/>
      <c r="J240" s="79"/>
      <c r="K240" s="79"/>
      <c r="L240" s="79"/>
      <c r="M240" s="79"/>
      <c r="N240" s="79"/>
      <c r="O240" s="79"/>
      <c r="P240" s="79"/>
    </row>
    <row r="241" spans="4:16" x14ac:dyDescent="0.2">
      <c r="D241" s="80"/>
      <c r="H241" s="79"/>
      <c r="I241" s="79"/>
      <c r="J241" s="79"/>
      <c r="K241" s="79"/>
      <c r="L241" s="79"/>
      <c r="M241" s="79"/>
      <c r="N241" s="79"/>
      <c r="O241" s="79"/>
      <c r="P241" s="79"/>
    </row>
    <row r="242" spans="4:16" x14ac:dyDescent="0.2">
      <c r="D242" s="80"/>
      <c r="H242" s="79"/>
      <c r="I242" s="79"/>
      <c r="J242" s="79"/>
      <c r="K242" s="79"/>
      <c r="L242" s="79"/>
      <c r="M242" s="79"/>
      <c r="N242" s="79"/>
      <c r="O242" s="79"/>
      <c r="P242" s="79"/>
    </row>
    <row r="243" spans="4:16" x14ac:dyDescent="0.2">
      <c r="D243" s="80"/>
      <c r="H243" s="79"/>
      <c r="I243" s="79"/>
      <c r="J243" s="79"/>
      <c r="K243" s="79"/>
      <c r="L243" s="79"/>
      <c r="M243" s="79"/>
      <c r="N243" s="79"/>
      <c r="O243" s="79"/>
      <c r="P243" s="79"/>
    </row>
    <row r="244" spans="4:16" x14ac:dyDescent="0.2">
      <c r="D244" s="80"/>
      <c r="H244" s="79"/>
      <c r="I244" s="79"/>
      <c r="J244" s="79"/>
      <c r="K244" s="79"/>
      <c r="L244" s="79"/>
      <c r="M244" s="79"/>
      <c r="N244" s="79"/>
      <c r="O244" s="79"/>
      <c r="P244" s="79"/>
    </row>
    <row r="245" spans="4:16" x14ac:dyDescent="0.2">
      <c r="D245" s="80"/>
      <c r="H245" s="79"/>
      <c r="I245" s="79"/>
      <c r="J245" s="79"/>
      <c r="K245" s="79"/>
      <c r="L245" s="79"/>
      <c r="M245" s="79"/>
      <c r="N245" s="79"/>
      <c r="O245" s="79"/>
      <c r="P245" s="79"/>
    </row>
    <row r="246" spans="4:16" x14ac:dyDescent="0.2">
      <c r="D246" s="80"/>
      <c r="H246" s="79"/>
      <c r="I246" s="79"/>
      <c r="J246" s="79"/>
      <c r="K246" s="79"/>
      <c r="L246" s="79"/>
      <c r="M246" s="79"/>
      <c r="N246" s="79"/>
      <c r="O246" s="79"/>
      <c r="P246" s="79"/>
    </row>
    <row r="247" spans="4:16" x14ac:dyDescent="0.2">
      <c r="D247" s="80"/>
      <c r="H247" s="79"/>
      <c r="I247" s="79"/>
      <c r="J247" s="79"/>
      <c r="K247" s="79"/>
      <c r="L247" s="79"/>
      <c r="M247" s="79"/>
      <c r="N247" s="79"/>
      <c r="O247" s="79"/>
      <c r="P247" s="79"/>
    </row>
    <row r="248" spans="4:16" x14ac:dyDescent="0.2">
      <c r="D248" s="80"/>
      <c r="H248" s="79"/>
      <c r="I248" s="79"/>
      <c r="J248" s="79"/>
      <c r="K248" s="79"/>
      <c r="L248" s="79"/>
      <c r="M248" s="79"/>
      <c r="N248" s="79"/>
      <c r="O248" s="79"/>
      <c r="P248" s="79"/>
    </row>
    <row r="249" spans="4:16" x14ac:dyDescent="0.2">
      <c r="D249" s="80"/>
      <c r="H249" s="79"/>
      <c r="I249" s="79"/>
      <c r="J249" s="79"/>
      <c r="K249" s="79"/>
      <c r="L249" s="79"/>
      <c r="M249" s="79"/>
      <c r="N249" s="79"/>
      <c r="O249" s="79"/>
      <c r="P249" s="79"/>
    </row>
    <row r="250" spans="4:16" x14ac:dyDescent="0.2">
      <c r="D250" s="80"/>
      <c r="H250" s="79"/>
      <c r="I250" s="79"/>
      <c r="J250" s="79"/>
      <c r="K250" s="79"/>
      <c r="L250" s="79"/>
      <c r="M250" s="79"/>
      <c r="N250" s="79"/>
      <c r="O250" s="79"/>
      <c r="P250" s="79"/>
    </row>
    <row r="251" spans="4:16" x14ac:dyDescent="0.2">
      <c r="D251" s="80"/>
      <c r="H251" s="79"/>
      <c r="I251" s="79"/>
      <c r="J251" s="79"/>
      <c r="K251" s="79"/>
      <c r="L251" s="79"/>
      <c r="M251" s="79"/>
      <c r="N251" s="79"/>
      <c r="O251" s="79"/>
      <c r="P251" s="79"/>
    </row>
    <row r="252" spans="4:16" x14ac:dyDescent="0.2">
      <c r="D252" s="80"/>
      <c r="H252" s="79"/>
      <c r="I252" s="79"/>
      <c r="J252" s="79"/>
      <c r="K252" s="79"/>
      <c r="L252" s="79"/>
      <c r="M252" s="79"/>
      <c r="N252" s="79"/>
      <c r="O252" s="79"/>
      <c r="P252" s="79"/>
    </row>
    <row r="253" spans="4:16" x14ac:dyDescent="0.2">
      <c r="D253" s="80"/>
      <c r="H253" s="79"/>
      <c r="I253" s="79"/>
      <c r="J253" s="79"/>
      <c r="K253" s="79"/>
      <c r="L253" s="79"/>
      <c r="M253" s="79"/>
      <c r="N253" s="79"/>
      <c r="O253" s="79"/>
      <c r="P253" s="79"/>
    </row>
    <row r="254" spans="4:16" x14ac:dyDescent="0.2">
      <c r="D254" s="80"/>
      <c r="H254" s="79"/>
      <c r="I254" s="79"/>
      <c r="J254" s="79"/>
      <c r="K254" s="79"/>
      <c r="L254" s="79"/>
      <c r="M254" s="79"/>
      <c r="N254" s="79"/>
      <c r="O254" s="79"/>
      <c r="P254" s="79"/>
    </row>
    <row r="255" spans="4:16" x14ac:dyDescent="0.2">
      <c r="D255" s="80"/>
      <c r="H255" s="79"/>
      <c r="I255" s="79"/>
      <c r="J255" s="79"/>
      <c r="K255" s="79"/>
      <c r="L255" s="79"/>
      <c r="M255" s="79"/>
      <c r="N255" s="79"/>
      <c r="O255" s="79"/>
      <c r="P255" s="79"/>
    </row>
    <row r="256" spans="4:16" x14ac:dyDescent="0.2">
      <c r="D256" s="80"/>
      <c r="H256" s="79"/>
      <c r="I256" s="79"/>
      <c r="J256" s="79"/>
      <c r="K256" s="79"/>
      <c r="L256" s="79"/>
      <c r="M256" s="79"/>
      <c r="N256" s="79"/>
      <c r="O256" s="79"/>
      <c r="P256" s="79"/>
    </row>
    <row r="257" spans="4:16" x14ac:dyDescent="0.2">
      <c r="D257" s="80"/>
      <c r="H257" s="79"/>
      <c r="I257" s="79"/>
      <c r="J257" s="79"/>
      <c r="K257" s="79"/>
      <c r="L257" s="79"/>
      <c r="M257" s="79"/>
      <c r="N257" s="79"/>
      <c r="O257" s="79"/>
      <c r="P257" s="79"/>
    </row>
    <row r="258" spans="4:16" x14ac:dyDescent="0.2">
      <c r="D258" s="80"/>
      <c r="H258" s="79"/>
      <c r="I258" s="79"/>
      <c r="J258" s="79"/>
      <c r="K258" s="79"/>
      <c r="L258" s="79"/>
      <c r="M258" s="79"/>
      <c r="N258" s="79"/>
      <c r="O258" s="79"/>
      <c r="P258" s="79"/>
    </row>
    <row r="259" spans="4:16" x14ac:dyDescent="0.2">
      <c r="D259" s="80"/>
      <c r="H259" s="79"/>
      <c r="I259" s="79"/>
      <c r="J259" s="79"/>
      <c r="K259" s="79"/>
      <c r="L259" s="79"/>
      <c r="M259" s="79"/>
      <c r="N259" s="79"/>
      <c r="O259" s="79"/>
      <c r="P259" s="79"/>
    </row>
    <row r="260" spans="4:16" x14ac:dyDescent="0.2">
      <c r="D260" s="80"/>
      <c r="H260" s="79"/>
      <c r="I260" s="79"/>
      <c r="J260" s="79"/>
      <c r="K260" s="79"/>
      <c r="L260" s="79"/>
      <c r="M260" s="79"/>
      <c r="N260" s="79"/>
      <c r="O260" s="79"/>
      <c r="P260" s="79"/>
    </row>
    <row r="261" spans="4:16" x14ac:dyDescent="0.2">
      <c r="D261" s="80"/>
      <c r="H261" s="79"/>
      <c r="I261" s="79"/>
      <c r="J261" s="79"/>
      <c r="K261" s="79"/>
      <c r="L261" s="79"/>
      <c r="M261" s="79"/>
      <c r="N261" s="79"/>
      <c r="O261" s="79"/>
      <c r="P261" s="79"/>
    </row>
    <row r="262" spans="4:16" x14ac:dyDescent="0.2">
      <c r="D262" s="80"/>
      <c r="H262" s="79"/>
      <c r="I262" s="79"/>
      <c r="J262" s="79"/>
      <c r="K262" s="79"/>
      <c r="L262" s="79"/>
      <c r="M262" s="79"/>
      <c r="N262" s="79"/>
      <c r="O262" s="79"/>
      <c r="P262" s="79"/>
    </row>
    <row r="263" spans="4:16" x14ac:dyDescent="0.2">
      <c r="D263" s="80"/>
      <c r="H263" s="79"/>
      <c r="I263" s="79"/>
      <c r="J263" s="79"/>
      <c r="K263" s="79"/>
      <c r="L263" s="79"/>
      <c r="M263" s="79"/>
      <c r="N263" s="79"/>
      <c r="O263" s="79"/>
      <c r="P263" s="79"/>
    </row>
    <row r="264" spans="4:16" x14ac:dyDescent="0.2">
      <c r="D264" s="80"/>
      <c r="H264" s="79"/>
      <c r="I264" s="79"/>
      <c r="J264" s="79"/>
      <c r="K264" s="79"/>
      <c r="L264" s="79"/>
      <c r="M264" s="79"/>
      <c r="N264" s="79"/>
      <c r="O264" s="79"/>
      <c r="P264" s="79"/>
    </row>
    <row r="265" spans="4:16" x14ac:dyDescent="0.2">
      <c r="D265" s="80"/>
      <c r="H265" s="79"/>
      <c r="I265" s="79"/>
      <c r="J265" s="79"/>
      <c r="K265" s="79"/>
      <c r="L265" s="79"/>
      <c r="M265" s="79"/>
      <c r="N265" s="79"/>
      <c r="O265" s="79"/>
      <c r="P265" s="79"/>
    </row>
    <row r="266" spans="4:16" x14ac:dyDescent="0.2">
      <c r="D266" s="80"/>
      <c r="H266" s="79"/>
      <c r="I266" s="79"/>
      <c r="J266" s="79"/>
      <c r="K266" s="79"/>
      <c r="L266" s="79"/>
      <c r="M266" s="79"/>
      <c r="N266" s="79"/>
      <c r="O266" s="79"/>
      <c r="P266" s="79"/>
    </row>
    <row r="267" spans="4:16" x14ac:dyDescent="0.2">
      <c r="D267" s="80"/>
      <c r="H267" s="79"/>
      <c r="I267" s="79"/>
      <c r="J267" s="79"/>
      <c r="K267" s="79"/>
      <c r="L267" s="79"/>
      <c r="M267" s="79"/>
      <c r="N267" s="79"/>
      <c r="O267" s="79"/>
      <c r="P267" s="79"/>
    </row>
    <row r="268" spans="4:16" x14ac:dyDescent="0.2">
      <c r="D268" s="80"/>
      <c r="H268" s="79"/>
      <c r="I268" s="79"/>
      <c r="J268" s="79"/>
      <c r="K268" s="79"/>
      <c r="L268" s="79"/>
      <c r="M268" s="79"/>
      <c r="N268" s="79"/>
      <c r="O268" s="79"/>
      <c r="P268" s="79"/>
    </row>
    <row r="269" spans="4:16" x14ac:dyDescent="0.2">
      <c r="D269" s="80"/>
      <c r="H269" s="79"/>
      <c r="I269" s="79"/>
      <c r="J269" s="79"/>
      <c r="K269" s="79"/>
      <c r="L269" s="79"/>
      <c r="M269" s="79"/>
      <c r="N269" s="79"/>
      <c r="O269" s="79"/>
      <c r="P269" s="79"/>
    </row>
    <row r="270" spans="4:16" x14ac:dyDescent="0.2">
      <c r="D270" s="80"/>
      <c r="H270" s="79"/>
      <c r="I270" s="79"/>
      <c r="J270" s="79"/>
      <c r="K270" s="79"/>
      <c r="L270" s="79"/>
      <c r="M270" s="79"/>
      <c r="N270" s="79"/>
      <c r="O270" s="79"/>
      <c r="P270" s="79"/>
    </row>
    <row r="271" spans="4:16" x14ac:dyDescent="0.2">
      <c r="D271" s="80"/>
      <c r="H271" s="79"/>
      <c r="I271" s="79"/>
      <c r="J271" s="79"/>
      <c r="K271" s="79"/>
      <c r="L271" s="79"/>
      <c r="M271" s="79"/>
      <c r="N271" s="79"/>
      <c r="O271" s="79"/>
      <c r="P271" s="79"/>
    </row>
    <row r="272" spans="4:16" x14ac:dyDescent="0.2">
      <c r="D272" s="80"/>
      <c r="H272" s="79"/>
      <c r="I272" s="79"/>
      <c r="J272" s="79"/>
      <c r="K272" s="79"/>
      <c r="L272" s="79"/>
      <c r="M272" s="79"/>
      <c r="N272" s="79"/>
      <c r="O272" s="79"/>
      <c r="P272" s="79"/>
    </row>
    <row r="273" spans="4:16" x14ac:dyDescent="0.2">
      <c r="D273" s="80"/>
      <c r="H273" s="79"/>
      <c r="I273" s="79"/>
      <c r="J273" s="79"/>
      <c r="K273" s="79"/>
      <c r="L273" s="79"/>
      <c r="M273" s="79"/>
      <c r="N273" s="79"/>
      <c r="O273" s="79"/>
      <c r="P273" s="79"/>
    </row>
    <row r="274" spans="4:16" x14ac:dyDescent="0.2">
      <c r="D274" s="80"/>
      <c r="H274" s="79"/>
      <c r="I274" s="79"/>
      <c r="J274" s="79"/>
      <c r="K274" s="79"/>
      <c r="L274" s="79"/>
      <c r="M274" s="79"/>
      <c r="N274" s="79"/>
      <c r="O274" s="79"/>
      <c r="P274" s="79"/>
    </row>
    <row r="275" spans="4:16" x14ac:dyDescent="0.2">
      <c r="D275" s="80"/>
      <c r="H275" s="79"/>
      <c r="I275" s="79"/>
      <c r="J275" s="79"/>
      <c r="K275" s="79"/>
      <c r="L275" s="79"/>
      <c r="M275" s="79"/>
      <c r="N275" s="79"/>
      <c r="O275" s="79"/>
      <c r="P275" s="79"/>
    </row>
    <row r="276" spans="4:16" x14ac:dyDescent="0.2">
      <c r="D276" s="80"/>
      <c r="H276" s="79"/>
      <c r="I276" s="79"/>
      <c r="J276" s="79"/>
      <c r="K276" s="79"/>
      <c r="L276" s="79"/>
      <c r="M276" s="79"/>
      <c r="N276" s="79"/>
      <c r="O276" s="79"/>
      <c r="P276" s="79"/>
    </row>
    <row r="277" spans="4:16" x14ac:dyDescent="0.2">
      <c r="D277" s="80"/>
      <c r="H277" s="79"/>
      <c r="I277" s="79"/>
      <c r="J277" s="79"/>
      <c r="K277" s="79"/>
      <c r="L277" s="79"/>
      <c r="M277" s="79"/>
      <c r="N277" s="79"/>
      <c r="O277" s="79"/>
      <c r="P277" s="79"/>
    </row>
  </sheetData>
  <mergeCells count="14">
    <mergeCell ref="Q1:Q2"/>
    <mergeCell ref="K1:M1"/>
    <mergeCell ref="N1:P1"/>
    <mergeCell ref="T1:U1"/>
    <mergeCell ref="R1:R2"/>
    <mergeCell ref="S1:S2"/>
    <mergeCell ref="H1:J1"/>
    <mergeCell ref="A190:A214"/>
    <mergeCell ref="A1:A2"/>
    <mergeCell ref="B1:B2"/>
    <mergeCell ref="C1:C2"/>
    <mergeCell ref="D1:D2"/>
    <mergeCell ref="F1:G1"/>
    <mergeCell ref="E1:E2"/>
  </mergeCells>
  <phoneticPr fontId="5" type="noConversion"/>
  <conditionalFormatting sqref="R190:R192 R3:R187">
    <cfRule type="cellIs" dxfId="103" priority="616" stopIfTrue="1" operator="equal">
      <formula>$R$192</formula>
    </cfRule>
    <cfRule type="cellIs" dxfId="102" priority="617" stopIfTrue="1" operator="equal">
      <formula>$R$191</formula>
    </cfRule>
    <cfRule type="cellIs" dxfId="101" priority="618" stopIfTrue="1" operator="equal">
      <formula>$R$190</formula>
    </cfRule>
  </conditionalFormatting>
  <conditionalFormatting sqref="R18:R26 R30:R31">
    <cfRule type="cellIs" dxfId="100" priority="20" stopIfTrue="1" operator="equal">
      <formula>$R$18</formula>
    </cfRule>
    <cfRule type="cellIs" dxfId="99" priority="21" stopIfTrue="1" operator="equal">
      <formula>$R$17</formula>
    </cfRule>
    <cfRule type="cellIs" dxfId="98" priority="22" stopIfTrue="1" operator="equal">
      <formula>$R$16</formula>
    </cfRule>
  </conditionalFormatting>
  <conditionalFormatting sqref="R3:R187">
    <cfRule type="cellIs" dxfId="97" priority="750" stopIfTrue="1" operator="equal">
      <formula>$R$262</formula>
    </cfRule>
    <cfRule type="cellIs" dxfId="96" priority="751" stopIfTrue="1" operator="equal">
      <formula>$R$261</formula>
    </cfRule>
    <cfRule type="cellIs" dxfId="95" priority="752" stopIfTrue="1" operator="equal">
      <formula>$R$260</formula>
    </cfRule>
  </conditionalFormatting>
  <conditionalFormatting sqref="R18:R26">
    <cfRule type="cellIs" dxfId="94" priority="757" stopIfTrue="1" operator="equal">
      <formula>$R$81</formula>
    </cfRule>
    <cfRule type="cellIs" dxfId="93" priority="758" stopIfTrue="1" operator="equal">
      <formula>$R$80</formula>
    </cfRule>
    <cfRule type="cellIs" dxfId="92" priority="759" stopIfTrue="1" operator="equal">
      <formula>$R$79</formula>
    </cfRule>
  </conditionalFormatting>
  <conditionalFormatting sqref="R30:R31">
    <cfRule type="cellIs" dxfId="91" priority="764" stopIfTrue="1" operator="equal">
      <formula>$R$86</formula>
    </cfRule>
    <cfRule type="cellIs" dxfId="90" priority="765" stopIfTrue="1" operator="equal">
      <formula>$R$85</formula>
    </cfRule>
    <cfRule type="cellIs" dxfId="89" priority="766" stopIfTrue="1" operator="equal">
      <formula>$R$84</formula>
    </cfRule>
  </conditionalFormatting>
  <conditionalFormatting sqref="O190:O216 I190:I216 L190:L216 I3:I187 L3:L187 O3:O187">
    <cfRule type="cellIs" priority="1" operator="equal">
      <formula>$I$217</formula>
    </cfRule>
    <cfRule type="cellIs" dxfId="88" priority="2" operator="between">
      <formula>$I$194</formula>
      <formula>$I$190</formula>
    </cfRule>
    <cfRule type="cellIs" dxfId="87" priority="3" operator="between">
      <formula>$I$197</formula>
      <formula>$I$195</formula>
    </cfRule>
    <cfRule type="cellIs" dxfId="86" priority="4" operator="between">
      <formula>$I$216</formula>
      <formula>$I$198</formula>
    </cfRule>
  </conditionalFormatting>
  <dataValidations count="9">
    <dataValidation type="list" allowBlank="1" showInputMessage="1" showErrorMessage="1" sqref="F64:F65 F173:F174 F185:F187 F179:F180 F161:F162 F155:F156 F167:F168 F136:F137 F148:F150 F105:F107 F71:F72 F130 F98:F100 F112 F77:F79 F84:F86 F91:F93 F118:F119 F124:F125 F142:F143 F18:F58 F3:F15">
      <formula1>Level1agencysaving</formula1>
    </dataValidation>
    <dataValidation type="list" allowBlank="1" showInputMessage="1" showErrorMessage="1" sqref="F59:F63 F181:F184 F66:F70 F73:F76 F80:F83 F87:F90 F94:F97 F101:F104 F108:F111 F113:F117 F120:F123 F126:F129 F131:F135 F138:F141 F144:F147 F151:F154 F157:F160 F163:F166 F169:F172 F175:F178 G3:G187 F16:F17">
      <formula1>Level2agencysaving</formula1>
    </dataValidation>
    <dataValidation type="list" allowBlank="1" showInputMessage="1" showErrorMessage="1" sqref="E3:E187">
      <formula1>Unit</formula1>
    </dataValidation>
    <dataValidation type="list" allowBlank="1" showInputMessage="1" showErrorMessage="1" sqref="L3:L187 O3:O187 I3:I187">
      <formula1>Year</formula1>
    </dataValidation>
    <dataValidation type="list" allowBlank="1" showInputMessage="1" showErrorMessage="1" sqref="R3:R187">
      <formula1>RAGassessment</formula1>
    </dataValidation>
    <dataValidation type="list" allowBlank="1" showInputMessage="1" showErrorMessage="1" sqref="T3:T17 T32:T187 T27:T29">
      <formula1>$T$190:$T$191</formula1>
    </dataValidation>
    <dataValidation type="list" allowBlank="1" showInputMessage="1" showErrorMessage="1" sqref="B3:B187">
      <formula1>Outcomedetail</formula1>
    </dataValidation>
    <dataValidation type="list" allowBlank="1" showInputMessage="1" showErrorMessage="1" sqref="A3:A187">
      <formula1>Outcomecategory</formula1>
    </dataValidation>
    <dataValidation type="list" allowBlank="1" showInputMessage="1" showErrorMessage="1" sqref="T18:T26 T30:T31">
      <formula1>$T$16:$T$17</formula1>
    </dataValidation>
  </dataValidations>
  <hyperlinks>
    <hyperlink ref="Q8:Q11" r:id="rId1" display="Scottish Executive (2003): The role of mediation in tackling neighbourhood disputes and anti-social behaviour"/>
    <hyperlink ref="Q12" r:id="rId2"/>
    <hyperlink ref="Q7" r:id="rId3"/>
    <hyperlink ref="Q6" r:id="rId4"/>
    <hyperlink ref="Q5" r:id="rId5"/>
    <hyperlink ref="Q4" r:id="rId6" display="Based on 'The Economic and Social Costs of Anti-Social Behaviour: a review' (London School of Economics and Political Science, 2003)"/>
    <hyperlink ref="Q3" r:id="rId7" display="Based on 'The Economic and Social Costs of Anti-Social Behaviour: a review' (London School of Economics and Political Science, 2003)"/>
    <hyperlink ref="Q13:Q17" r:id="rId8" display="Sylvia Walby - The Cost of Domestic violence, update (2009), p.8"/>
    <hyperlink ref="Q17" r:id="rId9"/>
    <hyperlink ref="Q33" r:id="rId10"/>
    <hyperlink ref="Q34" r:id="rId11"/>
    <hyperlink ref="Q35" r:id="rId12"/>
    <hyperlink ref="Q29" r:id="rId13"/>
    <hyperlink ref="Q36" r:id="rId14"/>
    <hyperlink ref="Q37" r:id="rId15"/>
    <hyperlink ref="Q38" r:id="rId16"/>
    <hyperlink ref="Q39" r:id="rId17"/>
    <hyperlink ref="Q40" r:id="rId18"/>
    <hyperlink ref="Q41" r:id="rId19"/>
    <hyperlink ref="Q42" r:id="rId20"/>
    <hyperlink ref="Q43" r:id="rId21"/>
    <hyperlink ref="Q27" r:id="rId22"/>
    <hyperlink ref="Q28" r:id="rId23"/>
    <hyperlink ref="Q44" r:id="rId24"/>
    <hyperlink ref="Q45" r:id="rId25"/>
    <hyperlink ref="Q46" r:id="rId26"/>
    <hyperlink ref="Q47" r:id="rId27"/>
    <hyperlink ref="Q48" r:id="rId28"/>
    <hyperlink ref="Q49" r:id="rId29"/>
    <hyperlink ref="Q50" r:id="rId30"/>
    <hyperlink ref="Q51" r:id="rId31"/>
    <hyperlink ref="Q52" r:id="rId32"/>
    <hyperlink ref="Q53" r:id="rId33"/>
    <hyperlink ref="Q54" r:id="rId34"/>
    <hyperlink ref="Q32" r:id="rId35"/>
    <hyperlink ref="Q18" r:id="rId36"/>
    <hyperlink ref="Q19:Q26" r:id="rId37" display="NOMS - Cost per place and costs per prisoner 2013-14 (MOJ, 2014)"/>
    <hyperlink ref="Q30:Q31" r:id="rId38" display="NOMS - Cost per place and costs per prisoner 2013-14 (MOJ, 2014)"/>
  </hyperlinks>
  <pageMargins left="0.74803149606299213" right="0.74803149606299213" top="0.98425196850393704" bottom="0.98425196850393704" header="0.51181102362204722" footer="0.51181102362204722"/>
  <pageSetup paperSize="8" scale="44" orientation="landscape" r:id="rId39"/>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outlinePr summaryBelow="0"/>
  </sheetPr>
  <dimension ref="A1:U141"/>
  <sheetViews>
    <sheetView showGridLines="0" zoomScale="80" zoomScaleNormal="80" workbookViewId="0">
      <pane xSplit="4" ySplit="2" topLeftCell="E3" activePane="bottomRight" state="frozen"/>
      <selection pane="topRight" activeCell="E1" sqref="E1"/>
      <selection pane="bottomLeft" activeCell="A3" sqref="A3"/>
      <selection pane="bottomRight" sqref="A1:A2"/>
    </sheetView>
  </sheetViews>
  <sheetFormatPr defaultRowHeight="12.75" outlineLevelRow="2" x14ac:dyDescent="0.2"/>
  <cols>
    <col min="1" max="1" width="12.625" style="79" customWidth="1"/>
    <col min="2" max="2" width="15.5" style="79" customWidth="1"/>
    <col min="3" max="3" width="8.5" style="79" customWidth="1"/>
    <col min="4" max="4" width="43.25" style="79" customWidth="1"/>
    <col min="5" max="5" width="15" style="83" customWidth="1"/>
    <col min="6" max="6" width="16" style="79" customWidth="1"/>
    <col min="7" max="7" width="15.75" style="79" customWidth="1"/>
    <col min="8" max="8" width="12.5" style="79" bestFit="1" customWidth="1"/>
    <col min="9" max="9" width="10" style="79" customWidth="1"/>
    <col min="10" max="11" width="12.5" style="79" bestFit="1" customWidth="1"/>
    <col min="12" max="12" width="10" style="79" customWidth="1"/>
    <col min="13" max="14" width="12.5" style="79" bestFit="1" customWidth="1"/>
    <col min="15" max="15" width="10" style="79" customWidth="1"/>
    <col min="16" max="16" width="12.5" style="79" bestFit="1" customWidth="1"/>
    <col min="17" max="17" width="46.125" style="79" customWidth="1"/>
    <col min="18" max="18" width="12.5" style="81" customWidth="1"/>
    <col min="19" max="19" width="78.25" style="79" customWidth="1"/>
    <col min="20" max="20" width="10.125" style="79" customWidth="1"/>
    <col min="21" max="21" width="20.875" style="79" customWidth="1"/>
    <col min="22" max="16384" width="9" style="79"/>
  </cols>
  <sheetData>
    <row r="1" spans="1:21" s="51" customFormat="1" ht="31.5" customHeight="1" x14ac:dyDescent="0.2">
      <c r="A1" s="182" t="s">
        <v>715</v>
      </c>
      <c r="B1" s="178" t="s">
        <v>716</v>
      </c>
      <c r="C1" s="178" t="s">
        <v>1409</v>
      </c>
      <c r="D1" s="178" t="s">
        <v>717</v>
      </c>
      <c r="E1" s="178" t="s">
        <v>644</v>
      </c>
      <c r="F1" s="178" t="s">
        <v>1778</v>
      </c>
      <c r="G1" s="178"/>
      <c r="H1" s="178" t="s">
        <v>1859</v>
      </c>
      <c r="I1" s="178"/>
      <c r="J1" s="178"/>
      <c r="K1" s="178" t="s">
        <v>1860</v>
      </c>
      <c r="L1" s="178"/>
      <c r="M1" s="178"/>
      <c r="N1" s="178" t="s">
        <v>1861</v>
      </c>
      <c r="O1" s="178"/>
      <c r="P1" s="178"/>
      <c r="Q1" s="178" t="s">
        <v>643</v>
      </c>
      <c r="R1" s="178" t="s">
        <v>966</v>
      </c>
      <c r="S1" s="178" t="s">
        <v>1408</v>
      </c>
      <c r="T1" s="178" t="s">
        <v>68</v>
      </c>
      <c r="U1" s="185"/>
    </row>
    <row r="2" spans="1:21" s="51" customFormat="1" ht="30" customHeight="1" collapsed="1" x14ac:dyDescent="0.2">
      <c r="A2" s="183"/>
      <c r="B2" s="184"/>
      <c r="C2" s="184"/>
      <c r="D2" s="184"/>
      <c r="E2" s="184"/>
      <c r="F2" s="107" t="s">
        <v>672</v>
      </c>
      <c r="G2" s="107" t="s">
        <v>673</v>
      </c>
      <c r="H2" s="107" t="s">
        <v>718</v>
      </c>
      <c r="I2" s="107" t="s">
        <v>648</v>
      </c>
      <c r="J2" s="107" t="s">
        <v>1403</v>
      </c>
      <c r="K2" s="107" t="s">
        <v>718</v>
      </c>
      <c r="L2" s="107" t="s">
        <v>648</v>
      </c>
      <c r="M2" s="107" t="s">
        <v>1403</v>
      </c>
      <c r="N2" s="107" t="s">
        <v>718</v>
      </c>
      <c r="O2" s="107" t="s">
        <v>648</v>
      </c>
      <c r="P2" s="107" t="s">
        <v>1403</v>
      </c>
      <c r="Q2" s="184"/>
      <c r="R2" s="184"/>
      <c r="S2" s="184"/>
      <c r="T2" s="108" t="s">
        <v>1910</v>
      </c>
      <c r="U2" s="109" t="s">
        <v>1909</v>
      </c>
    </row>
    <row r="3" spans="1:21" s="40" customFormat="1" ht="60" customHeight="1" collapsed="1" x14ac:dyDescent="0.2">
      <c r="A3" s="42" t="s">
        <v>1735</v>
      </c>
      <c r="B3" s="42" t="s">
        <v>696</v>
      </c>
      <c r="C3" s="42" t="s">
        <v>1098</v>
      </c>
      <c r="D3" s="42" t="s">
        <v>1662</v>
      </c>
      <c r="E3" s="13" t="s">
        <v>1342</v>
      </c>
      <c r="F3" s="13" t="s">
        <v>712</v>
      </c>
      <c r="G3" s="13"/>
      <c r="H3" s="15">
        <v>1509</v>
      </c>
      <c r="I3" s="17" t="s">
        <v>659</v>
      </c>
      <c r="J3" s="19">
        <f>IF(H3&gt;0,(H3*VLOOKUP(Lookups!$K$11,Lookups!$M$10:$P$40,4,0)/VLOOKUP(I3,Lookups!$M$10:$P$40,4,0)),"")</f>
        <v>1877.9344441033836</v>
      </c>
      <c r="K3" s="15">
        <v>842</v>
      </c>
      <c r="L3" s="17" t="s">
        <v>659</v>
      </c>
      <c r="M3" s="19">
        <f>IF(K3&gt;0,(K3*VLOOKUP(Lookups!$K$11,Lookups!$M$10:$P$40,4,0)/VLOOKUP(L3,Lookups!$M$10:$P$40,4,0)),"")</f>
        <v>1047.8600410437703</v>
      </c>
      <c r="N3" s="15"/>
      <c r="O3" s="17"/>
      <c r="P3" s="19" t="str">
        <f>IF(N3&gt;0,(N3*VLOOKUP(Lookups!$K$11,Lookups!$M$10:$P$40,4,0)/VLOOKUP(O3,Lookups!$M$10:$P$40,4,0)),"")</f>
        <v/>
      </c>
      <c r="Q3" s="95" t="s">
        <v>1386</v>
      </c>
      <c r="R3" s="38" t="s">
        <v>619</v>
      </c>
      <c r="S3" s="13" t="s">
        <v>117</v>
      </c>
      <c r="T3" s="13" t="s">
        <v>1912</v>
      </c>
      <c r="U3" s="13" t="s">
        <v>118</v>
      </c>
    </row>
    <row r="4" spans="1:21" s="90" customFormat="1" ht="60" hidden="1" customHeight="1" outlineLevel="2" x14ac:dyDescent="0.2">
      <c r="A4" s="37" t="s">
        <v>1735</v>
      </c>
      <c r="B4" s="37" t="s">
        <v>696</v>
      </c>
      <c r="C4" s="37" t="s">
        <v>1119</v>
      </c>
      <c r="D4" s="45" t="s">
        <v>1663</v>
      </c>
      <c r="E4" s="37" t="s">
        <v>1342</v>
      </c>
      <c r="F4" s="37" t="s">
        <v>679</v>
      </c>
      <c r="G4" s="37"/>
      <c r="H4" s="89">
        <v>706</v>
      </c>
      <c r="I4" s="17" t="s">
        <v>659</v>
      </c>
      <c r="J4" s="19">
        <f>IF(H4&gt;0,(H4*VLOOKUP(Lookups!$K$11,Lookups!$M$10:$P$40,4,0)/VLOOKUP(I4,Lookups!$M$10:$P$40,4,0)),"")</f>
        <v>878.60948809608271</v>
      </c>
      <c r="K4" s="89"/>
      <c r="L4" s="17"/>
      <c r="M4" s="19" t="str">
        <f>IF(K4&gt;0,(K4*VLOOKUP(Lookups!$K$11,Lookups!$M$10:$P$40,4,0)/VLOOKUP(L4,Lookups!$M$10:$P$40,4,0)),"")</f>
        <v/>
      </c>
      <c r="N4" s="89"/>
      <c r="O4" s="17"/>
      <c r="P4" s="19" t="str">
        <f>IF(N4&gt;0,(N4*VLOOKUP(Lookups!$K$11,Lookups!$M$10:$P$40,4,0)/VLOOKUP(O4,Lookups!$M$10:$P$40,4,0)),"")</f>
        <v/>
      </c>
      <c r="Q4" s="95" t="s">
        <v>1386</v>
      </c>
      <c r="R4" s="38" t="s">
        <v>619</v>
      </c>
      <c r="S4" s="37" t="s">
        <v>1664</v>
      </c>
      <c r="T4" s="37"/>
      <c r="U4" s="37"/>
    </row>
    <row r="5" spans="1:21" s="90" customFormat="1" ht="60" hidden="1" customHeight="1" outlineLevel="2" x14ac:dyDescent="0.2">
      <c r="A5" s="37" t="s">
        <v>1735</v>
      </c>
      <c r="B5" s="37" t="s">
        <v>696</v>
      </c>
      <c r="C5" s="37" t="s">
        <v>1120</v>
      </c>
      <c r="D5" s="45" t="s">
        <v>1665</v>
      </c>
      <c r="E5" s="37" t="s">
        <v>1342</v>
      </c>
      <c r="F5" s="37" t="s">
        <v>629</v>
      </c>
      <c r="G5" s="37"/>
      <c r="H5" s="89">
        <v>52</v>
      </c>
      <c r="I5" s="17" t="s">
        <v>659</v>
      </c>
      <c r="J5" s="19">
        <f>IF(H5&gt;0,(H5*VLOOKUP(Lookups!$K$11,Lookups!$M$10:$P$40,4,0)/VLOOKUP(I5,Lookups!$M$10:$P$40,4,0)),"")</f>
        <v>64.713446715292221</v>
      </c>
      <c r="K5" s="89"/>
      <c r="L5" s="17"/>
      <c r="M5" s="19"/>
      <c r="N5" s="89"/>
      <c r="O5" s="17"/>
      <c r="P5" s="19" t="str">
        <f>IF(N5&gt;0,(N5*VLOOKUP(Lookups!$K$11,Lookups!$M$10:$P$40,4,0)/VLOOKUP(O5,Lookups!$M$10:$P$40,4,0)),"")</f>
        <v/>
      </c>
      <c r="Q5" s="95" t="s">
        <v>1386</v>
      </c>
      <c r="R5" s="38" t="s">
        <v>619</v>
      </c>
      <c r="S5" s="37" t="s">
        <v>1702</v>
      </c>
      <c r="T5" s="37"/>
      <c r="U5" s="37"/>
    </row>
    <row r="6" spans="1:21" s="90" customFormat="1" ht="60" hidden="1" customHeight="1" outlineLevel="2" x14ac:dyDescent="0.2">
      <c r="A6" s="37" t="s">
        <v>1735</v>
      </c>
      <c r="B6" s="37" t="s">
        <v>696</v>
      </c>
      <c r="C6" s="37" t="s">
        <v>1121</v>
      </c>
      <c r="D6" s="45" t="s">
        <v>1666</v>
      </c>
      <c r="E6" s="37" t="s">
        <v>1342</v>
      </c>
      <c r="F6" s="37" t="s">
        <v>614</v>
      </c>
      <c r="G6" s="37" t="s">
        <v>1348</v>
      </c>
      <c r="H6" s="89">
        <v>423.5</v>
      </c>
      <c r="I6" s="17" t="s">
        <v>659</v>
      </c>
      <c r="J6" s="19">
        <f>IF(H6&gt;0,(H6*VLOOKUP(Lookups!$K$11,Lookups!$M$10:$P$40,4,0)/VLOOKUP(I6,Lookups!$M$10:$P$40,4,0)),"")</f>
        <v>527.04124392165863</v>
      </c>
      <c r="K6" s="89"/>
      <c r="L6" s="17"/>
      <c r="M6" s="19" t="str">
        <f>IF(K6&gt;0,(K6*VLOOKUP(Lookups!$K$11,Lookups!$M$10:$P$40,4,0)/VLOOKUP(L6,Lookups!$M$10:$P$40,4,0)),"")</f>
        <v/>
      </c>
      <c r="N6" s="89"/>
      <c r="O6" s="17"/>
      <c r="P6" s="19" t="str">
        <f>IF(N6&gt;0,(N6*VLOOKUP(Lookups!$K$11,Lookups!$M$10:$P$40,4,0)/VLOOKUP(O6,Lookups!$M$10:$P$40,4,0)),"")</f>
        <v/>
      </c>
      <c r="Q6" s="95" t="s">
        <v>1386</v>
      </c>
      <c r="R6" s="38" t="s">
        <v>619</v>
      </c>
      <c r="S6" s="37" t="s">
        <v>1918</v>
      </c>
      <c r="T6" s="37"/>
      <c r="U6" s="37"/>
    </row>
    <row r="7" spans="1:21" s="90" customFormat="1" ht="60" hidden="1" customHeight="1" outlineLevel="2" x14ac:dyDescent="0.2">
      <c r="A7" s="37" t="s">
        <v>1735</v>
      </c>
      <c r="B7" s="37" t="s">
        <v>696</v>
      </c>
      <c r="C7" s="37" t="s">
        <v>1122</v>
      </c>
      <c r="D7" s="45" t="s">
        <v>1668</v>
      </c>
      <c r="E7" s="37" t="s">
        <v>1342</v>
      </c>
      <c r="F7" s="37" t="s">
        <v>679</v>
      </c>
      <c r="G7" s="37"/>
      <c r="H7" s="89">
        <v>327.83333333333331</v>
      </c>
      <c r="I7" s="17" t="s">
        <v>659</v>
      </c>
      <c r="J7" s="19">
        <f>IF(H7&gt;0,(H7*VLOOKUP(Lookups!$K$11,Lookups!$M$10:$P$40,4,0)/VLOOKUP(I7,Lookups!$M$10:$P$40,4,0)),"")</f>
        <v>407.98509515698646</v>
      </c>
      <c r="K7" s="89"/>
      <c r="L7" s="17"/>
      <c r="M7" s="19" t="str">
        <f>IF(K7&gt;0,(K7*VLOOKUP(Lookups!$K$11,Lookups!$M$10:$P$40,4,0)/VLOOKUP(L7,Lookups!$M$10:$P$40,4,0)),"")</f>
        <v/>
      </c>
      <c r="N7" s="89"/>
      <c r="O7" s="17"/>
      <c r="P7" s="19" t="str">
        <f>IF(N7&gt;0,(N7*VLOOKUP(Lookups!$K$11,Lookups!$M$10:$P$40,4,0)/VLOOKUP(O7,Lookups!$M$10:$P$40,4,0)),"")</f>
        <v/>
      </c>
      <c r="Q7" s="95" t="s">
        <v>1386</v>
      </c>
      <c r="R7" s="38" t="s">
        <v>619</v>
      </c>
      <c r="S7" s="37" t="s">
        <v>1669</v>
      </c>
      <c r="T7" s="37"/>
      <c r="U7" s="37"/>
    </row>
    <row r="8" spans="1:21" s="40" customFormat="1" ht="60" customHeight="1" collapsed="1" x14ac:dyDescent="0.2">
      <c r="A8" s="42" t="s">
        <v>1735</v>
      </c>
      <c r="B8" s="42" t="s">
        <v>1363</v>
      </c>
      <c r="C8" s="42" t="s">
        <v>1099</v>
      </c>
      <c r="D8" s="42" t="s">
        <v>1866</v>
      </c>
      <c r="E8" s="13" t="s">
        <v>1342</v>
      </c>
      <c r="F8" s="13" t="s">
        <v>712</v>
      </c>
      <c r="G8" s="13"/>
      <c r="H8" s="15">
        <v>9219</v>
      </c>
      <c r="I8" s="17" t="s">
        <v>659</v>
      </c>
      <c r="J8" s="19">
        <f>IF(H8&gt;0,(H8*VLOOKUP(Lookups!$K$11,Lookups!$M$10:$P$40,4,0)/VLOOKUP(I8,Lookups!$M$10:$P$40,4,0)),"")</f>
        <v>11472.947409005365</v>
      </c>
      <c r="K8" s="15">
        <v>529</v>
      </c>
      <c r="L8" s="17" t="s">
        <v>659</v>
      </c>
      <c r="M8" s="19">
        <f>IF(K8&gt;0,(K8*VLOOKUP(Lookups!$K$11,Lookups!$M$10:$P$40,4,0)/VLOOKUP(L8,Lookups!$M$10:$P$40,4,0)),"")</f>
        <v>658.3348713921074</v>
      </c>
      <c r="N8" s="15"/>
      <c r="O8" s="17"/>
      <c r="P8" s="19" t="str">
        <f>IF(N8&gt;0,(N8*VLOOKUP(Lookups!$K$11,Lookups!$M$10:$P$40,4,0)/VLOOKUP(O8,Lookups!$M$10:$P$40,4,0)),"")</f>
        <v/>
      </c>
      <c r="Q8" s="95" t="s">
        <v>1386</v>
      </c>
      <c r="R8" s="38" t="s">
        <v>619</v>
      </c>
      <c r="S8" s="13" t="s">
        <v>2063</v>
      </c>
      <c r="T8" s="13" t="s">
        <v>1912</v>
      </c>
      <c r="U8" s="13" t="s">
        <v>118</v>
      </c>
    </row>
    <row r="9" spans="1:21" s="90" customFormat="1" ht="60" hidden="1" customHeight="1" outlineLevel="2" x14ac:dyDescent="0.2">
      <c r="A9" s="37" t="s">
        <v>1735</v>
      </c>
      <c r="B9" s="37" t="s">
        <v>1363</v>
      </c>
      <c r="C9" s="37" t="s">
        <v>1123</v>
      </c>
      <c r="D9" s="45" t="s">
        <v>1862</v>
      </c>
      <c r="E9" s="37" t="s">
        <v>1342</v>
      </c>
      <c r="F9" s="37" t="s">
        <v>679</v>
      </c>
      <c r="G9" s="37"/>
      <c r="H9" s="89">
        <v>7181</v>
      </c>
      <c r="I9" s="17" t="s">
        <v>659</v>
      </c>
      <c r="J9" s="19">
        <f>IF(H9&gt;0,(H9*VLOOKUP(Lookups!$K$11,Lookups!$M$10:$P$40,4,0)/VLOOKUP(I9,Lookups!$M$10:$P$40,4,0)),"")</f>
        <v>8936.6780935098741</v>
      </c>
      <c r="K9" s="89"/>
      <c r="L9" s="17"/>
      <c r="M9" s="19" t="str">
        <f>IF(K9&gt;0,(K9*VLOOKUP(Lookups!$K$11,Lookups!$M$10:$P$40,4,0)/VLOOKUP(L9,Lookups!$M$10:$P$40,4,0)),"")</f>
        <v/>
      </c>
      <c r="N9" s="89"/>
      <c r="O9" s="17"/>
      <c r="P9" s="19" t="str">
        <f>IF(N9&gt;0,(N9*VLOOKUP(Lookups!$K$11,Lookups!$M$10:$P$40,4,0)/VLOOKUP(O9,Lookups!$M$10:$P$40,4,0)),"")</f>
        <v/>
      </c>
      <c r="Q9" s="95" t="s">
        <v>1386</v>
      </c>
      <c r="R9" s="38" t="s">
        <v>619</v>
      </c>
      <c r="S9" s="37" t="s">
        <v>1664</v>
      </c>
      <c r="T9" s="37"/>
      <c r="U9" s="37"/>
    </row>
    <row r="10" spans="1:21" s="90" customFormat="1" ht="60" hidden="1" customHeight="1" outlineLevel="2" x14ac:dyDescent="0.2">
      <c r="A10" s="37" t="s">
        <v>1735</v>
      </c>
      <c r="B10" s="37" t="s">
        <v>1363</v>
      </c>
      <c r="C10" s="37" t="s">
        <v>1124</v>
      </c>
      <c r="D10" s="45" t="s">
        <v>1863</v>
      </c>
      <c r="E10" s="37" t="s">
        <v>1342</v>
      </c>
      <c r="F10" s="37" t="s">
        <v>629</v>
      </c>
      <c r="G10" s="37"/>
      <c r="H10" s="89">
        <v>63.6875</v>
      </c>
      <c r="I10" s="17" t="s">
        <v>659</v>
      </c>
      <c r="J10" s="19">
        <f>IF(H10&gt;0,(H10*VLOOKUP(Lookups!$K$11,Lookups!$M$10:$P$40,4,0)/VLOOKUP(I10,Lookups!$M$10:$P$40,4,0)),"")</f>
        <v>79.258416109234091</v>
      </c>
      <c r="K10" s="89"/>
      <c r="L10" s="17"/>
      <c r="M10" s="19" t="str">
        <f>IF(K10&gt;0,(K10*VLOOKUP(Lookups!$K$11,Lookups!$M$10:$P$40,4,0)/VLOOKUP(L10,Lookups!$M$10:$P$40,4,0)),"")</f>
        <v/>
      </c>
      <c r="N10" s="89"/>
      <c r="O10" s="17"/>
      <c r="P10" s="19" t="str">
        <f>IF(N10&gt;0,(N10*VLOOKUP(Lookups!$K$11,Lookups!$M$10:$P$40,4,0)/VLOOKUP(O10,Lookups!$M$10:$P$40,4,0)),"")</f>
        <v/>
      </c>
      <c r="Q10" s="95" t="s">
        <v>1386</v>
      </c>
      <c r="R10" s="38" t="s">
        <v>619</v>
      </c>
      <c r="S10" s="37" t="s">
        <v>1670</v>
      </c>
      <c r="T10" s="37"/>
      <c r="U10" s="37"/>
    </row>
    <row r="11" spans="1:21" s="90" customFormat="1" ht="60" hidden="1" customHeight="1" outlineLevel="2" x14ac:dyDescent="0.2">
      <c r="A11" s="37" t="s">
        <v>1735</v>
      </c>
      <c r="B11" s="37" t="s">
        <v>1363</v>
      </c>
      <c r="C11" s="37" t="s">
        <v>1125</v>
      </c>
      <c r="D11" s="45" t="s">
        <v>1864</v>
      </c>
      <c r="E11" s="37" t="s">
        <v>1342</v>
      </c>
      <c r="F11" s="37" t="s">
        <v>614</v>
      </c>
      <c r="G11" s="37" t="s">
        <v>1348</v>
      </c>
      <c r="H11" s="89">
        <v>970.4375</v>
      </c>
      <c r="I11" s="17" t="s">
        <v>659</v>
      </c>
      <c r="J11" s="19">
        <f>IF(H11&gt;0,(H11*VLOOKUP(Lookups!$K$11,Lookups!$M$10:$P$40,4,0)/VLOOKUP(I11,Lookups!$M$10:$P$40,4,0)),"")</f>
        <v>1207.699143207142</v>
      </c>
      <c r="K11" s="89"/>
      <c r="L11" s="17"/>
      <c r="M11" s="19" t="str">
        <f>IF(K11&gt;0,(K11*VLOOKUP(Lookups!$K$11,Lookups!$M$10:$P$40,4,0)/VLOOKUP(L11,Lookups!$M$10:$P$40,4,0)),"")</f>
        <v/>
      </c>
      <c r="N11" s="89"/>
      <c r="O11" s="17"/>
      <c r="P11" s="19" t="str">
        <f>IF(N11&gt;0,(N11*VLOOKUP(Lookups!$K$11,Lookups!$M$10:$P$40,4,0)/VLOOKUP(O11,Lookups!$M$10:$P$40,4,0)),"")</f>
        <v/>
      </c>
      <c r="Q11" s="95" t="s">
        <v>1386</v>
      </c>
      <c r="R11" s="38" t="s">
        <v>619</v>
      </c>
      <c r="S11" s="37" t="s">
        <v>1920</v>
      </c>
      <c r="T11" s="37"/>
      <c r="U11" s="37"/>
    </row>
    <row r="12" spans="1:21" s="90" customFormat="1" ht="60" hidden="1" customHeight="1" outlineLevel="2" x14ac:dyDescent="0.2">
      <c r="A12" s="37" t="s">
        <v>1735</v>
      </c>
      <c r="B12" s="37" t="s">
        <v>1363</v>
      </c>
      <c r="C12" s="37" t="s">
        <v>1126</v>
      </c>
      <c r="D12" s="45" t="s">
        <v>1865</v>
      </c>
      <c r="E12" s="37" t="s">
        <v>1342</v>
      </c>
      <c r="F12" s="37" t="s">
        <v>679</v>
      </c>
      <c r="G12" s="37"/>
      <c r="H12" s="89">
        <v>1003.5</v>
      </c>
      <c r="I12" s="17" t="s">
        <v>659</v>
      </c>
      <c r="J12" s="19">
        <f>IF(H12&gt;0,(H12*VLOOKUP(Lookups!$K$11,Lookups!$M$10:$P$40,4,0)/VLOOKUP(I12,Lookups!$M$10:$P$40,4,0)),"")</f>
        <v>1248.8450726691487</v>
      </c>
      <c r="K12" s="89"/>
      <c r="L12" s="17"/>
      <c r="M12" s="19" t="str">
        <f>IF(K12&gt;0,(K12*VLOOKUP(Lookups!$K$11,Lookups!$M$10:$P$40,4,0)/VLOOKUP(L12,Lookups!$M$10:$P$40,4,0)),"")</f>
        <v/>
      </c>
      <c r="N12" s="89"/>
      <c r="O12" s="17"/>
      <c r="P12" s="19" t="str">
        <f>IF(N12&gt;0,(N12*VLOOKUP(Lookups!$K$11,Lookups!$M$10:$P$40,4,0)/VLOOKUP(O12,Lookups!$M$10:$P$40,4,0)),"")</f>
        <v/>
      </c>
      <c r="Q12" s="95" t="s">
        <v>1386</v>
      </c>
      <c r="R12" s="38" t="s">
        <v>619</v>
      </c>
      <c r="S12" s="37" t="s">
        <v>1667</v>
      </c>
      <c r="T12" s="37"/>
      <c r="U12" s="37"/>
    </row>
    <row r="13" spans="1:21" s="40" customFormat="1" ht="60" customHeight="1" x14ac:dyDescent="0.2">
      <c r="A13" s="42" t="s">
        <v>1735</v>
      </c>
      <c r="B13" s="42" t="s">
        <v>1679</v>
      </c>
      <c r="C13" s="42" t="s">
        <v>1100</v>
      </c>
      <c r="D13" s="42" t="s">
        <v>1680</v>
      </c>
      <c r="E13" s="13" t="s">
        <v>1342</v>
      </c>
      <c r="F13" s="13" t="s">
        <v>487</v>
      </c>
      <c r="G13" s="13" t="s">
        <v>1420</v>
      </c>
      <c r="H13" s="15">
        <v>1000</v>
      </c>
      <c r="I13" s="17" t="s">
        <v>726</v>
      </c>
      <c r="J13" s="19">
        <f>IF(H13&gt;0,(H13*VLOOKUP(Lookups!$K$11,Lookups!$M$10:$P$40,4,0)/VLOOKUP(I13,Lookups!$M$10:$P$40,4,0)),"")</f>
        <v>1053.13118274</v>
      </c>
      <c r="K13" s="15"/>
      <c r="L13" s="17"/>
      <c r="M13" s="19" t="str">
        <f>IF(K13&gt;0,(K13*VLOOKUP(Lookups!$K$11,Lookups!$M$10:$P$40,4,0)/VLOOKUP(L13,Lookups!$M$10:$P$40,4,0)),"")</f>
        <v/>
      </c>
      <c r="N13" s="15"/>
      <c r="O13" s="17"/>
      <c r="P13" s="19" t="str">
        <f>IF(N13&gt;0,(N13*VLOOKUP(Lookups!$K$11,Lookups!$M$10:$P$40,4,0)/VLOOKUP(O13,Lookups!$M$10:$P$40,4,0)),"")</f>
        <v/>
      </c>
      <c r="Q13" s="95" t="s">
        <v>1681</v>
      </c>
      <c r="R13" s="38" t="s">
        <v>619</v>
      </c>
      <c r="S13" s="13" t="s">
        <v>1096</v>
      </c>
      <c r="T13" s="13"/>
      <c r="U13" s="13"/>
    </row>
    <row r="14" spans="1:21" s="40" customFormat="1" ht="60" customHeight="1" collapsed="1" x14ac:dyDescent="0.2">
      <c r="A14" s="42" t="s">
        <v>1735</v>
      </c>
      <c r="B14" s="42" t="s">
        <v>707</v>
      </c>
      <c r="C14" s="42" t="s">
        <v>1101</v>
      </c>
      <c r="D14" s="42" t="s">
        <v>1671</v>
      </c>
      <c r="E14" s="13" t="s">
        <v>1672</v>
      </c>
      <c r="F14" s="13" t="s">
        <v>487</v>
      </c>
      <c r="G14" s="13" t="s">
        <v>1420</v>
      </c>
      <c r="H14" s="15">
        <v>132</v>
      </c>
      <c r="I14" s="17" t="s">
        <v>663</v>
      </c>
      <c r="J14" s="19">
        <f>IF(H14&gt;0,(H14*VLOOKUP(Lookups!$K$11,Lookups!$M$10:$P$40,4,0)/VLOOKUP(I14,Lookups!$M$10:$P$40,4,0)),"")</f>
        <v>147.76547357953066</v>
      </c>
      <c r="K14" s="15"/>
      <c r="L14" s="17"/>
      <c r="M14" s="19" t="str">
        <f>IF(K14&gt;0,(K14*VLOOKUP(Lookups!$K$11,Lookups!$M$10:$P$40,4,0)/VLOOKUP(L14,Lookups!$M$10:$P$40,4,0)),"")</f>
        <v/>
      </c>
      <c r="N14" s="15"/>
      <c r="O14" s="17"/>
      <c r="P14" s="19" t="str">
        <f>IF(N14&gt;0,(N14*VLOOKUP(Lookups!$K$11,Lookups!$M$10:$P$40,4,0)/VLOOKUP(O14,Lookups!$M$10:$P$40,4,0)),"")</f>
        <v/>
      </c>
      <c r="Q14" s="36" t="s">
        <v>1673</v>
      </c>
      <c r="R14" s="38" t="s">
        <v>621</v>
      </c>
      <c r="S14" s="13" t="s">
        <v>1674</v>
      </c>
      <c r="T14" s="13"/>
      <c r="U14" s="13"/>
    </row>
    <row r="15" spans="1:21" s="90" customFormat="1" ht="60" hidden="1" customHeight="1" outlineLevel="1" x14ac:dyDescent="0.2">
      <c r="A15" s="46" t="s">
        <v>1735</v>
      </c>
      <c r="B15" s="46" t="s">
        <v>707</v>
      </c>
      <c r="C15" s="46" t="s">
        <v>1111</v>
      </c>
      <c r="D15" s="46" t="s">
        <v>1867</v>
      </c>
      <c r="E15" s="37" t="s">
        <v>534</v>
      </c>
      <c r="F15" s="37" t="s">
        <v>614</v>
      </c>
      <c r="G15" s="37" t="s">
        <v>669</v>
      </c>
      <c r="H15" s="89">
        <v>3206</v>
      </c>
      <c r="I15" s="17" t="s">
        <v>663</v>
      </c>
      <c r="J15" s="19">
        <f>IF(H15&gt;0,(H15*VLOOKUP(Lookups!$K$11,Lookups!$M$10:$P$40,4,0)/VLOOKUP(I15,Lookups!$M$10:$P$40,4,0)),"")</f>
        <v>3588.9099113331463</v>
      </c>
      <c r="K15" s="89">
        <v>6958</v>
      </c>
      <c r="L15" s="17" t="s">
        <v>663</v>
      </c>
      <c r="M15" s="19">
        <f>IF(K15&gt;0,(K15*VLOOKUP(Lookups!$K$11,Lookups!$M$10:$P$40,4,0)/VLOOKUP(L15,Lookups!$M$10:$P$40,4,0)),"")</f>
        <v>7789.0315542907147</v>
      </c>
      <c r="N15" s="89"/>
      <c r="O15" s="17"/>
      <c r="P15" s="19" t="str">
        <f>IF(N15&gt;0,(N15*VLOOKUP(Lookups!$K$11,Lookups!$M$10:$P$40,4,0)/VLOOKUP(O15,Lookups!$M$10:$P$40,4,0)),"")</f>
        <v/>
      </c>
      <c r="Q15" s="78" t="s">
        <v>535</v>
      </c>
      <c r="R15" s="38" t="s">
        <v>621</v>
      </c>
      <c r="S15" s="37" t="s">
        <v>2213</v>
      </c>
      <c r="T15" s="13" t="s">
        <v>1912</v>
      </c>
      <c r="U15" s="13" t="s">
        <v>118</v>
      </c>
    </row>
    <row r="16" spans="1:21" s="90" customFormat="1" ht="60" hidden="1" customHeight="1" outlineLevel="2" x14ac:dyDescent="0.2">
      <c r="A16" s="37" t="s">
        <v>1735</v>
      </c>
      <c r="B16" s="37" t="s">
        <v>707</v>
      </c>
      <c r="C16" s="37" t="s">
        <v>1127</v>
      </c>
      <c r="D16" s="45" t="s">
        <v>826</v>
      </c>
      <c r="E16" s="37" t="s">
        <v>534</v>
      </c>
      <c r="F16" s="37" t="s">
        <v>614</v>
      </c>
      <c r="G16" s="37" t="s">
        <v>669</v>
      </c>
      <c r="H16" s="89">
        <v>1849</v>
      </c>
      <c r="I16" s="17" t="s">
        <v>663</v>
      </c>
      <c r="J16" s="19">
        <f>IF(H16&gt;0,(H16*VLOOKUP(Lookups!$K$11,Lookups!$M$10:$P$40,4,0)/VLOOKUP(I16,Lookups!$M$10:$P$40,4,0)),"")</f>
        <v>2069.8360655193346</v>
      </c>
      <c r="K16" s="89"/>
      <c r="L16" s="17"/>
      <c r="M16" s="19" t="str">
        <f>IF(K16&gt;0,(K16*VLOOKUP(Lookups!$K$11,Lookups!$M$10:$P$40,4,0)/VLOOKUP(L16,Lookups!$M$10:$P$40,4,0)),"")</f>
        <v/>
      </c>
      <c r="N16" s="89"/>
      <c r="O16" s="17"/>
      <c r="P16" s="19" t="str">
        <f>IF(N16&gt;0,(N16*VLOOKUP(Lookups!$K$11,Lookups!$M$10:$P$40,4,0)/VLOOKUP(O16,Lookups!$M$10:$P$40,4,0)),"")</f>
        <v/>
      </c>
      <c r="Q16" s="78" t="s">
        <v>535</v>
      </c>
      <c r="R16" s="38" t="s">
        <v>621</v>
      </c>
      <c r="S16" s="37" t="s">
        <v>948</v>
      </c>
      <c r="T16" s="37"/>
      <c r="U16" s="37"/>
    </row>
    <row r="17" spans="1:21" s="90" customFormat="1" ht="60" hidden="1" customHeight="1" outlineLevel="2" x14ac:dyDescent="0.2">
      <c r="A17" s="37" t="s">
        <v>1735</v>
      </c>
      <c r="B17" s="37" t="s">
        <v>707</v>
      </c>
      <c r="C17" s="37" t="s">
        <v>1128</v>
      </c>
      <c r="D17" s="45" t="s">
        <v>1534</v>
      </c>
      <c r="E17" s="37" t="s">
        <v>534</v>
      </c>
      <c r="F17" s="37" t="s">
        <v>629</v>
      </c>
      <c r="G17" s="37" t="s">
        <v>1427</v>
      </c>
      <c r="H17" s="89">
        <v>1148</v>
      </c>
      <c r="I17" s="17" t="s">
        <v>663</v>
      </c>
      <c r="J17" s="19">
        <f>IF(H17&gt;0,(H17*VLOOKUP(Lookups!$K$11,Lookups!$M$10:$P$40,4,0)/VLOOKUP(I17,Lookups!$M$10:$P$40,4,0)),"")</f>
        <v>1285.1118459795546</v>
      </c>
      <c r="K17" s="89"/>
      <c r="L17" s="17"/>
      <c r="M17" s="19" t="str">
        <f>IF(K17&gt;0,(K17*VLOOKUP(Lookups!$K$11,Lookups!$M$10:$P$40,4,0)/VLOOKUP(L17,Lookups!$M$10:$P$40,4,0)),"")</f>
        <v/>
      </c>
      <c r="N17" s="89"/>
      <c r="O17" s="17"/>
      <c r="P17" s="19" t="str">
        <f>IF(N17&gt;0,(N17*VLOOKUP(Lookups!$K$11,Lookups!$M$10:$P$40,4,0)/VLOOKUP(O17,Lookups!$M$10:$P$40,4,0)),"")</f>
        <v/>
      </c>
      <c r="Q17" s="78" t="s">
        <v>535</v>
      </c>
      <c r="R17" s="38" t="s">
        <v>621</v>
      </c>
      <c r="S17" s="37" t="s">
        <v>959</v>
      </c>
      <c r="T17" s="37"/>
      <c r="U17" s="37"/>
    </row>
    <row r="18" spans="1:21" s="90" customFormat="1" ht="60" hidden="1" customHeight="1" outlineLevel="2" x14ac:dyDescent="0.2">
      <c r="A18" s="37" t="s">
        <v>1735</v>
      </c>
      <c r="B18" s="37" t="s">
        <v>707</v>
      </c>
      <c r="C18" s="37" t="s">
        <v>1129</v>
      </c>
      <c r="D18" s="45" t="s">
        <v>960</v>
      </c>
      <c r="E18" s="37" t="s">
        <v>534</v>
      </c>
      <c r="F18" s="37" t="s">
        <v>1420</v>
      </c>
      <c r="G18" s="37" t="s">
        <v>487</v>
      </c>
      <c r="H18" s="89">
        <v>186</v>
      </c>
      <c r="I18" s="17" t="s">
        <v>663</v>
      </c>
      <c r="J18" s="19">
        <f>IF(H18&gt;0,(H18*VLOOKUP(Lookups!$K$11,Lookups!$M$10:$P$40,4,0)/VLOOKUP(I18,Lookups!$M$10:$P$40,4,0)),"")</f>
        <v>208.21498549842957</v>
      </c>
      <c r="K18" s="89"/>
      <c r="L18" s="17"/>
      <c r="M18" s="19" t="str">
        <f>IF(K18&gt;0,(K18*VLOOKUP(Lookups!$K$11,Lookups!$M$10:$P$40,4,0)/VLOOKUP(L18,Lookups!$M$10:$P$40,4,0)),"")</f>
        <v/>
      </c>
      <c r="N18" s="89"/>
      <c r="O18" s="17"/>
      <c r="P18" s="19" t="str">
        <f>IF(N18&gt;0,(N18*VLOOKUP(Lookups!$K$11,Lookups!$M$10:$P$40,4,0)/VLOOKUP(O18,Lookups!$M$10:$P$40,4,0)),"")</f>
        <v/>
      </c>
      <c r="Q18" s="78" t="s">
        <v>535</v>
      </c>
      <c r="R18" s="38" t="s">
        <v>621</v>
      </c>
      <c r="S18" s="37" t="s">
        <v>961</v>
      </c>
      <c r="T18" s="37"/>
      <c r="U18" s="37"/>
    </row>
    <row r="19" spans="1:21" s="90" customFormat="1" ht="60" hidden="1" customHeight="1" outlineLevel="2" x14ac:dyDescent="0.2">
      <c r="A19" s="37" t="s">
        <v>1735</v>
      </c>
      <c r="B19" s="37" t="s">
        <v>707</v>
      </c>
      <c r="C19" s="37" t="s">
        <v>1130</v>
      </c>
      <c r="D19" s="45" t="s">
        <v>962</v>
      </c>
      <c r="E19" s="37" t="s">
        <v>534</v>
      </c>
      <c r="F19" s="37" t="s">
        <v>679</v>
      </c>
      <c r="G19" s="37" t="s">
        <v>1347</v>
      </c>
      <c r="H19" s="89">
        <v>23</v>
      </c>
      <c r="I19" s="17" t="s">
        <v>663</v>
      </c>
      <c r="J19" s="19">
        <f>IF(H19&gt;0,(H19*VLOOKUP(Lookups!$K$11,Lookups!$M$10:$P$40,4,0)/VLOOKUP(I19,Lookups!$M$10:$P$40,4,0)),"")</f>
        <v>25.747014335827313</v>
      </c>
      <c r="K19" s="89"/>
      <c r="L19" s="17"/>
      <c r="M19" s="19" t="str">
        <f>IF(K19&gt;0,(K19*VLOOKUP(Lookups!$K$11,Lookups!$M$10:$P$40,4,0)/VLOOKUP(L19,Lookups!$M$10:$P$40,4,0)),"")</f>
        <v/>
      </c>
      <c r="N19" s="89"/>
      <c r="O19" s="17"/>
      <c r="P19" s="19" t="str">
        <f>IF(N19&gt;0,(N19*VLOOKUP(Lookups!$K$11,Lookups!$M$10:$P$40,4,0)/VLOOKUP(O19,Lookups!$M$10:$P$40,4,0)),"")</f>
        <v/>
      </c>
      <c r="Q19" s="78" t="s">
        <v>535</v>
      </c>
      <c r="R19" s="38" t="s">
        <v>621</v>
      </c>
      <c r="S19" s="37" t="s">
        <v>569</v>
      </c>
      <c r="T19" s="37"/>
      <c r="U19" s="37"/>
    </row>
    <row r="20" spans="1:21" s="40" customFormat="1" ht="60" customHeight="1" x14ac:dyDescent="0.2">
      <c r="A20" s="42" t="s">
        <v>1735</v>
      </c>
      <c r="B20" s="42" t="s">
        <v>381</v>
      </c>
      <c r="C20" s="42" t="s">
        <v>1102</v>
      </c>
      <c r="D20" s="42" t="s">
        <v>1868</v>
      </c>
      <c r="E20" s="13" t="s">
        <v>1342</v>
      </c>
      <c r="F20" s="13" t="s">
        <v>666</v>
      </c>
      <c r="G20" s="13"/>
      <c r="H20" s="15">
        <f>3308/40</f>
        <v>82.7</v>
      </c>
      <c r="I20" s="17" t="s">
        <v>664</v>
      </c>
      <c r="J20" s="19">
        <f>IF(H20&gt;0,(H20*VLOOKUP(Lookups!$K$11,Lookups!$M$10:$P$40,4,0)/VLOOKUP(I20,Lookups!$M$10:$P$40,4,0)),"")</f>
        <v>90.083788794554508</v>
      </c>
      <c r="K20" s="15">
        <v>443</v>
      </c>
      <c r="L20" s="17" t="s">
        <v>664</v>
      </c>
      <c r="M20" s="19">
        <f>IF(K20&gt;0,(K20*VLOOKUP(Lookups!$K$11,Lookups!$M$10:$P$40,4,0)/VLOOKUP(L20,Lookups!$M$10:$P$40,4,0)),"")</f>
        <v>482.55282268425208</v>
      </c>
      <c r="N20" s="15"/>
      <c r="O20" s="17"/>
      <c r="P20" s="19" t="str">
        <f>IF(N20&gt;0,(N20*VLOOKUP(Lookups!$K$11,Lookups!$M$10:$P$40,4,0)/VLOOKUP(O20,Lookups!$M$10:$P$40,4,0)),"")</f>
        <v/>
      </c>
      <c r="Q20" s="16" t="s">
        <v>1232</v>
      </c>
      <c r="R20" s="38" t="s">
        <v>621</v>
      </c>
      <c r="S20" s="13" t="s">
        <v>2055</v>
      </c>
      <c r="T20" s="13" t="s">
        <v>1912</v>
      </c>
      <c r="U20" s="13" t="s">
        <v>119</v>
      </c>
    </row>
    <row r="21" spans="1:21" s="40" customFormat="1" ht="60" customHeight="1" x14ac:dyDescent="0.2">
      <c r="A21" s="42" t="s">
        <v>1735</v>
      </c>
      <c r="B21" s="42" t="s">
        <v>381</v>
      </c>
      <c r="C21" s="42" t="s">
        <v>1103</v>
      </c>
      <c r="D21" s="42" t="s">
        <v>1869</v>
      </c>
      <c r="E21" s="13" t="s">
        <v>1342</v>
      </c>
      <c r="F21" s="13" t="s">
        <v>666</v>
      </c>
      <c r="G21" s="13"/>
      <c r="H21" s="15">
        <f>25633/40</f>
        <v>640.82500000000005</v>
      </c>
      <c r="I21" s="17" t="s">
        <v>664</v>
      </c>
      <c r="J21" s="19">
        <f>IF(H21&gt;0,(H21*VLOOKUP(Lookups!$K$11,Lookups!$M$10:$P$40,4,0)/VLOOKUP(I21,Lookups!$M$10:$P$40,4,0)),"")</f>
        <v>698.0404347553856</v>
      </c>
      <c r="K21" s="89">
        <f>42353/40</f>
        <v>1058.825</v>
      </c>
      <c r="L21" s="17" t="s">
        <v>664</v>
      </c>
      <c r="M21" s="19">
        <f>IF(K21&gt;0,(K21*VLOOKUP(Lookups!$K$11,Lookups!$M$10:$P$40,4,0)/VLOOKUP(L21,Lookups!$M$10:$P$40,4,0)),"")</f>
        <v>1153.3611568366889</v>
      </c>
      <c r="N21" s="15"/>
      <c r="O21" s="17"/>
      <c r="P21" s="19" t="str">
        <f>IF(N21&gt;0,(N21*VLOOKUP(Lookups!$K$11,Lookups!$M$10:$P$40,4,0)/VLOOKUP(O21,Lookups!$M$10:$P$40,4,0)),"")</f>
        <v/>
      </c>
      <c r="Q21" s="16" t="s">
        <v>1232</v>
      </c>
      <c r="R21" s="38" t="s">
        <v>621</v>
      </c>
      <c r="S21" s="13" t="s">
        <v>1989</v>
      </c>
      <c r="T21" s="13" t="s">
        <v>1912</v>
      </c>
      <c r="U21" s="13" t="s">
        <v>119</v>
      </c>
    </row>
    <row r="22" spans="1:21" s="40" customFormat="1" ht="60" customHeight="1" x14ac:dyDescent="0.2">
      <c r="A22" s="42" t="s">
        <v>1735</v>
      </c>
      <c r="B22" s="42" t="s">
        <v>381</v>
      </c>
      <c r="C22" s="42" t="s">
        <v>1104</v>
      </c>
      <c r="D22" s="42" t="s">
        <v>1870</v>
      </c>
      <c r="E22" s="13" t="s">
        <v>1342</v>
      </c>
      <c r="F22" s="13" t="s">
        <v>666</v>
      </c>
      <c r="G22" s="13"/>
      <c r="H22" s="15">
        <f>19748/40</f>
        <v>493.7</v>
      </c>
      <c r="I22" s="17" t="s">
        <v>664</v>
      </c>
      <c r="J22" s="19">
        <f>IF(H22&gt;0,(H22*VLOOKUP(Lookups!$K$11,Lookups!$M$10:$P$40,4,0)/VLOOKUP(I22,Lookups!$M$10:$P$40,4,0)),"")</f>
        <v>537.77952270703213</v>
      </c>
      <c r="K22" s="15">
        <v>878</v>
      </c>
      <c r="L22" s="17" t="s">
        <v>664</v>
      </c>
      <c r="M22" s="19">
        <f>IF(K22&gt;0,(K22*VLOOKUP(Lookups!$K$11,Lookups!$M$10:$P$40,4,0)/VLOOKUP(L22,Lookups!$M$10:$P$40,4,0)),"")</f>
        <v>956.3913731755606</v>
      </c>
      <c r="N22" s="15"/>
      <c r="O22" s="17"/>
      <c r="P22" s="19" t="str">
        <f>IF(N22&gt;0,(N22*VLOOKUP(Lookups!$K$11,Lookups!$M$10:$P$40,4,0)/VLOOKUP(O22,Lookups!$M$10:$P$40,4,0)),"")</f>
        <v/>
      </c>
      <c r="Q22" s="16" t="s">
        <v>1232</v>
      </c>
      <c r="R22" s="38" t="s">
        <v>621</v>
      </c>
      <c r="S22" s="13" t="s">
        <v>1990</v>
      </c>
      <c r="T22" s="13" t="s">
        <v>1912</v>
      </c>
      <c r="U22" s="13" t="s">
        <v>119</v>
      </c>
    </row>
    <row r="23" spans="1:21" s="40" customFormat="1" ht="60" customHeight="1" collapsed="1" x14ac:dyDescent="0.2">
      <c r="A23" s="42" t="s">
        <v>1735</v>
      </c>
      <c r="B23" s="42" t="s">
        <v>381</v>
      </c>
      <c r="C23" s="42" t="s">
        <v>1105</v>
      </c>
      <c r="D23" s="42" t="s">
        <v>1871</v>
      </c>
      <c r="E23" s="13" t="s">
        <v>1342</v>
      </c>
      <c r="F23" s="13" t="s">
        <v>666</v>
      </c>
      <c r="G23" s="13"/>
      <c r="H23" s="15">
        <f>31484/40</f>
        <v>787.1</v>
      </c>
      <c r="I23" s="17" t="s">
        <v>664</v>
      </c>
      <c r="J23" s="19">
        <f>IF(H23&gt;0,(H23*VLOOKUP(Lookups!$K$11,Lookups!$M$10:$P$40,4,0)/VLOOKUP(I23,Lookups!$M$10:$P$40,4,0)),"")</f>
        <v>857.37545538323889</v>
      </c>
      <c r="K23" s="15">
        <v>1208</v>
      </c>
      <c r="L23" s="17" t="s">
        <v>664</v>
      </c>
      <c r="M23" s="19">
        <f>IF(K23&gt;0,(K23*VLOOKUP(Lookups!$K$11,Lookups!$M$10:$P$40,4,0)/VLOOKUP(L23,Lookups!$M$10:$P$40,4,0)),"")</f>
        <v>1315.8551011344841</v>
      </c>
      <c r="N23" s="15"/>
      <c r="O23" s="17"/>
      <c r="P23" s="19" t="str">
        <f>IF(N23&gt;0,(N23*VLOOKUP(Lookups!$K$11,Lookups!$M$10:$P$40,4,0)/VLOOKUP(O23,Lookups!$M$10:$P$40,4,0)),"")</f>
        <v/>
      </c>
      <c r="Q23" s="16" t="s">
        <v>1232</v>
      </c>
      <c r="R23" s="38" t="s">
        <v>621</v>
      </c>
      <c r="S23" s="13" t="s">
        <v>1991</v>
      </c>
      <c r="T23" s="13" t="s">
        <v>1912</v>
      </c>
      <c r="U23" s="13" t="s">
        <v>119</v>
      </c>
    </row>
    <row r="24" spans="1:21" s="90" customFormat="1" ht="60" hidden="1" customHeight="1" outlineLevel="1" x14ac:dyDescent="0.2">
      <c r="A24" s="46" t="s">
        <v>1735</v>
      </c>
      <c r="B24" s="46" t="s">
        <v>381</v>
      </c>
      <c r="C24" s="46" t="s">
        <v>2211</v>
      </c>
      <c r="D24" s="46" t="s">
        <v>1158</v>
      </c>
      <c r="E24" s="13" t="s">
        <v>1342</v>
      </c>
      <c r="F24" s="37"/>
      <c r="G24" s="37"/>
      <c r="H24" s="89"/>
      <c r="I24" s="17"/>
      <c r="J24" s="19" t="str">
        <f>IF(H24&gt;0,(H24*VLOOKUP(Lookups!$K$11,Lookups!$M$10:$P$40,4,0)/VLOOKUP(I24,Lookups!$M$10:$P$40,4,0)),"")</f>
        <v/>
      </c>
      <c r="K24" s="89">
        <v>11795</v>
      </c>
      <c r="L24" s="17" t="s">
        <v>664</v>
      </c>
      <c r="M24" s="19">
        <f>IF(K24&gt;0,(K24*VLOOKUP(Lookups!$K$11,Lookups!$M$10:$P$40,4,0)/VLOOKUP(L24,Lookups!$M$10:$P$40,4,0)),"")</f>
        <v>12848.105064471225</v>
      </c>
      <c r="N24" s="89"/>
      <c r="O24" s="17"/>
      <c r="P24" s="19" t="str">
        <f>IF(N24&gt;0,(N24*VLOOKUP(Lookups!$K$11,Lookups!$M$10:$P$40,4,0)/VLOOKUP(O24,Lookups!$M$10:$P$40,4,0)),"")</f>
        <v/>
      </c>
      <c r="Q24" s="96" t="s">
        <v>1233</v>
      </c>
      <c r="R24" s="38" t="s">
        <v>621</v>
      </c>
      <c r="S24" s="37" t="s">
        <v>2343</v>
      </c>
      <c r="T24" s="13" t="s">
        <v>1912</v>
      </c>
      <c r="U24" s="13" t="s">
        <v>120</v>
      </c>
    </row>
    <row r="25" spans="1:21" s="90" customFormat="1" ht="60" hidden="1" customHeight="1" outlineLevel="1" x14ac:dyDescent="0.2">
      <c r="A25" s="46" t="s">
        <v>1735</v>
      </c>
      <c r="B25" s="46" t="s">
        <v>381</v>
      </c>
      <c r="C25" s="46" t="s">
        <v>1112</v>
      </c>
      <c r="D25" s="46" t="s">
        <v>1159</v>
      </c>
      <c r="E25" s="13" t="s">
        <v>1342</v>
      </c>
      <c r="F25" s="37"/>
      <c r="G25" s="37"/>
      <c r="H25" s="89"/>
      <c r="I25" s="17"/>
      <c r="J25" s="19" t="str">
        <f>IF(H25&gt;0,(H25*VLOOKUP(Lookups!$K$11,Lookups!$M$10:$P$40,4,0)/VLOOKUP(I25,Lookups!$M$10:$P$40,4,0)),"")</f>
        <v/>
      </c>
      <c r="K25" s="89">
        <v>9428</v>
      </c>
      <c r="L25" s="17" t="s">
        <v>664</v>
      </c>
      <c r="M25" s="19">
        <f>IF(K25&gt;0,(K25*VLOOKUP(Lookups!$K$11,Lookups!$M$10:$P$40,4,0)/VLOOKUP(L25,Lookups!$M$10:$P$40,4,0)),"")</f>
        <v>10269.769779384038</v>
      </c>
      <c r="N25" s="89"/>
      <c r="O25" s="17"/>
      <c r="P25" s="19" t="str">
        <f>IF(N25&gt;0,(N25*VLOOKUP(Lookups!$K$11,Lookups!$M$10:$P$40,4,0)/VLOOKUP(O25,Lookups!$M$10:$P$40,4,0)),"")</f>
        <v/>
      </c>
      <c r="Q25" s="96" t="s">
        <v>1234</v>
      </c>
      <c r="R25" s="38" t="s">
        <v>621</v>
      </c>
      <c r="S25" s="37" t="s">
        <v>2343</v>
      </c>
      <c r="T25" s="13" t="s">
        <v>1912</v>
      </c>
      <c r="U25" s="13" t="s">
        <v>120</v>
      </c>
    </row>
    <row r="26" spans="1:21" s="90" customFormat="1" ht="60" hidden="1" customHeight="1" outlineLevel="1" x14ac:dyDescent="0.2">
      <c r="A26" s="46" t="s">
        <v>1735</v>
      </c>
      <c r="B26" s="46" t="s">
        <v>381</v>
      </c>
      <c r="C26" s="46" t="s">
        <v>1113</v>
      </c>
      <c r="D26" s="46" t="s">
        <v>828</v>
      </c>
      <c r="E26" s="13" t="s">
        <v>1342</v>
      </c>
      <c r="F26" s="37"/>
      <c r="G26" s="37"/>
      <c r="H26" s="89"/>
      <c r="I26" s="17"/>
      <c r="J26" s="19" t="str">
        <f>IF(H26&gt;0,(H26*VLOOKUP(Lookups!$K$11,Lookups!$M$10:$P$40,4,0)/VLOOKUP(I26,Lookups!$M$10:$P$40,4,0)),"")</f>
        <v/>
      </c>
      <c r="K26" s="89">
        <v>12881</v>
      </c>
      <c r="L26" s="17" t="s">
        <v>664</v>
      </c>
      <c r="M26" s="19">
        <f>IF(K26&gt;0,(K26*VLOOKUP(Lookups!$K$11,Lookups!$M$10:$P$40,4,0)/VLOOKUP(L26,Lookups!$M$10:$P$40,4,0)),"")</f>
        <v>14031.06751466332</v>
      </c>
      <c r="N26" s="89"/>
      <c r="O26" s="17"/>
      <c r="P26" s="19" t="str">
        <f>IF(N26&gt;0,(N26*VLOOKUP(Lookups!$K$11,Lookups!$M$10:$P$40,4,0)/VLOOKUP(O26,Lookups!$M$10:$P$40,4,0)),"")</f>
        <v/>
      </c>
      <c r="Q26" s="96" t="s">
        <v>1235</v>
      </c>
      <c r="R26" s="38" t="s">
        <v>621</v>
      </c>
      <c r="S26" s="37" t="s">
        <v>2343</v>
      </c>
      <c r="T26" s="13" t="s">
        <v>1912</v>
      </c>
      <c r="U26" s="13" t="s">
        <v>120</v>
      </c>
    </row>
    <row r="27" spans="1:21" s="90" customFormat="1" ht="60" hidden="1" customHeight="1" outlineLevel="1" x14ac:dyDescent="0.2">
      <c r="A27" s="46" t="s">
        <v>1735</v>
      </c>
      <c r="B27" s="46" t="s">
        <v>381</v>
      </c>
      <c r="C27" s="46" t="s">
        <v>1114</v>
      </c>
      <c r="D27" s="46" t="s">
        <v>829</v>
      </c>
      <c r="E27" s="13" t="s">
        <v>1342</v>
      </c>
      <c r="F27" s="37"/>
      <c r="G27" s="37"/>
      <c r="H27" s="89"/>
      <c r="I27" s="17"/>
      <c r="J27" s="19" t="str">
        <f>IF(H27&gt;0,(H27*VLOOKUP(Lookups!$K$11,Lookups!$M$10:$P$40,4,0)/VLOOKUP(I27,Lookups!$M$10:$P$40,4,0)),"")</f>
        <v/>
      </c>
      <c r="K27" s="89">
        <v>13824</v>
      </c>
      <c r="L27" s="17" t="s">
        <v>664</v>
      </c>
      <c r="M27" s="19">
        <f>IF(K27&gt;0,(K27*VLOOKUP(Lookups!$K$11,Lookups!$M$10:$P$40,4,0)/VLOOKUP(L27,Lookups!$M$10:$P$40,4,0)),"")</f>
        <v>15058.262349406546</v>
      </c>
      <c r="N27" s="89"/>
      <c r="O27" s="17"/>
      <c r="P27" s="19" t="str">
        <f>IF(N27&gt;0,(N27*VLOOKUP(Lookups!$K$11,Lookups!$M$10:$P$40,4,0)/VLOOKUP(O27,Lookups!$M$10:$P$40,4,0)),"")</f>
        <v/>
      </c>
      <c r="Q27" s="96" t="s">
        <v>1236</v>
      </c>
      <c r="R27" s="38" t="s">
        <v>621</v>
      </c>
      <c r="S27" s="37" t="s">
        <v>2343</v>
      </c>
      <c r="T27" s="13" t="s">
        <v>1912</v>
      </c>
      <c r="U27" s="13" t="s">
        <v>120</v>
      </c>
    </row>
    <row r="28" spans="1:21" s="90" customFormat="1" ht="60" hidden="1" customHeight="1" outlineLevel="1" x14ac:dyDescent="0.2">
      <c r="A28" s="46" t="s">
        <v>1735</v>
      </c>
      <c r="B28" s="46" t="s">
        <v>381</v>
      </c>
      <c r="C28" s="46" t="s">
        <v>1115</v>
      </c>
      <c r="D28" s="46" t="s">
        <v>831</v>
      </c>
      <c r="E28" s="13" t="s">
        <v>1342</v>
      </c>
      <c r="F28" s="37"/>
      <c r="G28" s="37"/>
      <c r="H28" s="89"/>
      <c r="I28" s="17"/>
      <c r="J28" s="19" t="str">
        <f>IF(H28&gt;0,(H28*VLOOKUP(Lookups!$K$11,Lookups!$M$10:$P$40,4,0)/VLOOKUP(I28,Lookups!$M$10:$P$40,4,0)),"")</f>
        <v/>
      </c>
      <c r="K28" s="89">
        <v>8715</v>
      </c>
      <c r="L28" s="17" t="s">
        <v>664</v>
      </c>
      <c r="M28" s="19">
        <f>IF(K28&gt;0,(K28*VLOOKUP(Lookups!$K$11,Lookups!$M$10:$P$40,4,0)/VLOOKUP(L28,Lookups!$M$10:$P$40,4,0)),"")</f>
        <v>9493.1102701879372</v>
      </c>
      <c r="N28" s="89"/>
      <c r="O28" s="17"/>
      <c r="P28" s="19" t="str">
        <f>IF(N28&gt;0,(N28*VLOOKUP(Lookups!$K$11,Lookups!$M$10:$P$40,4,0)/VLOOKUP(O28,Lookups!$M$10:$P$40,4,0)),"")</f>
        <v/>
      </c>
      <c r="Q28" s="96" t="s">
        <v>1237</v>
      </c>
      <c r="R28" s="38" t="s">
        <v>621</v>
      </c>
      <c r="S28" s="37" t="s">
        <v>2343</v>
      </c>
      <c r="T28" s="13" t="s">
        <v>1912</v>
      </c>
      <c r="U28" s="13" t="s">
        <v>120</v>
      </c>
    </row>
    <row r="29" spans="1:21" s="90" customFormat="1" ht="60" hidden="1" customHeight="1" outlineLevel="1" x14ac:dyDescent="0.2">
      <c r="A29" s="46" t="s">
        <v>1735</v>
      </c>
      <c r="B29" s="46" t="s">
        <v>381</v>
      </c>
      <c r="C29" s="46" t="s">
        <v>1116</v>
      </c>
      <c r="D29" s="46" t="s">
        <v>832</v>
      </c>
      <c r="E29" s="13" t="s">
        <v>1342</v>
      </c>
      <c r="F29" s="37"/>
      <c r="G29" s="37"/>
      <c r="H29" s="89"/>
      <c r="I29" s="17"/>
      <c r="J29" s="19" t="str">
        <f>IF(H29&gt;0,(H29*VLOOKUP(Lookups!$K$11,Lookups!$M$10:$P$40,4,0)/VLOOKUP(I29,Lookups!$M$10:$P$40,4,0)),"")</f>
        <v/>
      </c>
      <c r="K29" s="89">
        <v>12191</v>
      </c>
      <c r="L29" s="17" t="s">
        <v>664</v>
      </c>
      <c r="M29" s="19">
        <f>IF(K29&gt;0,(K29*VLOOKUP(Lookups!$K$11,Lookups!$M$10:$P$40,4,0)/VLOOKUP(L29,Lookups!$M$10:$P$40,4,0)),"")</f>
        <v>13279.461538021935</v>
      </c>
      <c r="N29" s="89"/>
      <c r="O29" s="17"/>
      <c r="P29" s="19" t="str">
        <f>IF(N29&gt;0,(N29*VLOOKUP(Lookups!$K$11,Lookups!$M$10:$P$40,4,0)/VLOOKUP(O29,Lookups!$M$10:$P$40,4,0)),"")</f>
        <v/>
      </c>
      <c r="Q29" s="96" t="s">
        <v>1238</v>
      </c>
      <c r="R29" s="38" t="s">
        <v>621</v>
      </c>
      <c r="S29" s="37" t="s">
        <v>2343</v>
      </c>
      <c r="T29" s="13" t="s">
        <v>1912</v>
      </c>
      <c r="U29" s="13" t="s">
        <v>120</v>
      </c>
    </row>
    <row r="30" spans="1:21" s="40" customFormat="1" ht="60" customHeight="1" x14ac:dyDescent="0.2">
      <c r="A30" s="42" t="s">
        <v>1735</v>
      </c>
      <c r="B30" s="42" t="s">
        <v>381</v>
      </c>
      <c r="C30" s="42" t="s">
        <v>1106</v>
      </c>
      <c r="D30" s="42" t="s">
        <v>1872</v>
      </c>
      <c r="E30" s="13" t="s">
        <v>1342</v>
      </c>
      <c r="F30" s="13" t="s">
        <v>666</v>
      </c>
      <c r="G30" s="13"/>
      <c r="H30" s="15">
        <f>20514/40</f>
        <v>512.85</v>
      </c>
      <c r="I30" s="17" t="s">
        <v>664</v>
      </c>
      <c r="J30" s="19">
        <f>IF(H30&gt;0,(H30*VLOOKUP(Lookups!$K$11,Lookups!$M$10:$P$40,4,0)/VLOOKUP(I30,Lookups!$M$10:$P$40,4,0)),"")</f>
        <v>558.63931176889093</v>
      </c>
      <c r="K30" s="15">
        <v>921</v>
      </c>
      <c r="L30" s="17" t="s">
        <v>664</v>
      </c>
      <c r="M30" s="19">
        <f>IF(K30&gt;0,(K30*VLOOKUP(Lookups!$K$11,Lookups!$M$10:$P$40,4,0)/VLOOKUP(L30,Lookups!$M$10:$P$40,4,0)),"")</f>
        <v>1003.2305862126324</v>
      </c>
      <c r="N30" s="15"/>
      <c r="O30" s="17"/>
      <c r="P30" s="19" t="str">
        <f>IF(N30&gt;0,(N30*VLOOKUP(Lookups!$K$11,Lookups!$M$10:$P$40,4,0)/VLOOKUP(O30,Lookups!$M$10:$P$40,4,0)),"")</f>
        <v/>
      </c>
      <c r="Q30" s="16" t="s">
        <v>1232</v>
      </c>
      <c r="R30" s="38" t="s">
        <v>621</v>
      </c>
      <c r="S30" s="13" t="s">
        <v>2058</v>
      </c>
      <c r="T30" s="13" t="s">
        <v>1912</v>
      </c>
      <c r="U30" s="13" t="s">
        <v>119</v>
      </c>
    </row>
    <row r="31" spans="1:21" s="40" customFormat="1" ht="60" customHeight="1" x14ac:dyDescent="0.2">
      <c r="A31" s="42" t="s">
        <v>1735</v>
      </c>
      <c r="B31" s="42" t="s">
        <v>381</v>
      </c>
      <c r="C31" s="42" t="s">
        <v>1107</v>
      </c>
      <c r="D31" s="42" t="s">
        <v>1873</v>
      </c>
      <c r="E31" s="13" t="s">
        <v>1342</v>
      </c>
      <c r="F31" s="13" t="s">
        <v>666</v>
      </c>
      <c r="G31" s="13"/>
      <c r="H31" s="15">
        <f>29654/40</f>
        <v>741.35</v>
      </c>
      <c r="I31" s="17" t="s">
        <v>664</v>
      </c>
      <c r="J31" s="19">
        <f>IF(H31&gt;0,(H31*VLOOKUP(Lookups!$K$11,Lookups!$M$10:$P$40,4,0)/VLOOKUP(I31,Lookups!$M$10:$P$40,4,0)),"")</f>
        <v>807.54071127984264</v>
      </c>
      <c r="K31" s="89">
        <f>55281/40</f>
        <v>1382.0250000000001</v>
      </c>
      <c r="L31" s="17" t="s">
        <v>664</v>
      </c>
      <c r="M31" s="19">
        <f>IF(K31&gt;0,(K31*VLOOKUP(Lookups!$K$11,Lookups!$M$10:$P$40,4,0)/VLOOKUP(L31,Lookups!$M$10:$P$40,4,0)),"")</f>
        <v>1505.4177534316107</v>
      </c>
      <c r="N31" s="15"/>
      <c r="O31" s="17"/>
      <c r="P31" s="19" t="str">
        <f>IF(N31&gt;0,(N31*VLOOKUP(Lookups!$K$11,Lookups!$M$10:$P$40,4,0)/VLOOKUP(O31,Lookups!$M$10:$P$40,4,0)),"")</f>
        <v/>
      </c>
      <c r="Q31" s="16" t="s">
        <v>1232</v>
      </c>
      <c r="R31" s="38" t="s">
        <v>621</v>
      </c>
      <c r="S31" s="13" t="s">
        <v>1776</v>
      </c>
      <c r="T31" s="13" t="s">
        <v>1912</v>
      </c>
      <c r="U31" s="13" t="s">
        <v>119</v>
      </c>
    </row>
    <row r="32" spans="1:21" s="40" customFormat="1" ht="60" customHeight="1" x14ac:dyDescent="0.2">
      <c r="A32" s="42" t="s">
        <v>1735</v>
      </c>
      <c r="B32" s="42" t="s">
        <v>381</v>
      </c>
      <c r="C32" s="42" t="s">
        <v>1108</v>
      </c>
      <c r="D32" s="42" t="s">
        <v>2052</v>
      </c>
      <c r="E32" s="13" t="s">
        <v>1342</v>
      </c>
      <c r="F32" s="13" t="s">
        <v>666</v>
      </c>
      <c r="G32" s="13"/>
      <c r="H32" s="15">
        <f>27311/40</f>
        <v>682.77499999999998</v>
      </c>
      <c r="I32" s="17" t="s">
        <v>664</v>
      </c>
      <c r="J32" s="19">
        <f>IF(H32&gt;0,(H32*VLOOKUP(Lookups!$K$11,Lookups!$M$10:$P$40,4,0)/VLOOKUP(I32,Lookups!$M$10:$P$40,4,0)),"")</f>
        <v>743.73589956713363</v>
      </c>
      <c r="K32" s="89">
        <f>44906/40</f>
        <v>1122.6500000000001</v>
      </c>
      <c r="L32" s="17" t="s">
        <v>664</v>
      </c>
      <c r="M32" s="19">
        <f>IF(K32&gt;0,(K32*VLOOKUP(Lookups!$K$11,Lookups!$M$10:$P$40,4,0)/VLOOKUP(L32,Lookups!$M$10:$P$40,4,0)),"")</f>
        <v>1222.8847096760171</v>
      </c>
      <c r="N32" s="15"/>
      <c r="O32" s="17"/>
      <c r="P32" s="19" t="str">
        <f>IF(N32&gt;0,(N32*VLOOKUP(Lookups!$K$11,Lookups!$M$10:$P$40,4,0)/VLOOKUP(O32,Lookups!$M$10:$P$40,4,0)),"")</f>
        <v/>
      </c>
      <c r="Q32" s="16" t="s">
        <v>1232</v>
      </c>
      <c r="R32" s="38" t="s">
        <v>621</v>
      </c>
      <c r="S32" s="13" t="s">
        <v>1777</v>
      </c>
      <c r="T32" s="13" t="s">
        <v>1912</v>
      </c>
      <c r="U32" s="13" t="s">
        <v>119</v>
      </c>
    </row>
    <row r="33" spans="1:21" s="40" customFormat="1" ht="60" customHeight="1" collapsed="1" x14ac:dyDescent="0.2">
      <c r="A33" s="42" t="s">
        <v>1735</v>
      </c>
      <c r="B33" s="42" t="s">
        <v>381</v>
      </c>
      <c r="C33" s="42" t="s">
        <v>1109</v>
      </c>
      <c r="D33" s="42" t="s">
        <v>2053</v>
      </c>
      <c r="E33" s="13" t="s">
        <v>1342</v>
      </c>
      <c r="F33" s="13" t="s">
        <v>666</v>
      </c>
      <c r="G33" s="13"/>
      <c r="H33" s="15">
        <f>55632/40</f>
        <v>1390.8</v>
      </c>
      <c r="I33" s="17" t="s">
        <v>664</v>
      </c>
      <c r="J33" s="19">
        <f>IF(H33&gt;0,(H33*VLOOKUP(Lookups!$K$11,Lookups!$M$10:$P$40,4,0)/VLOOKUP(I33,Lookups!$M$10:$P$40,4,0)),"")</f>
        <v>1514.9762207432454</v>
      </c>
      <c r="K33" s="89">
        <f>76990/40</f>
        <v>1924.75</v>
      </c>
      <c r="L33" s="17" t="s">
        <v>664</v>
      </c>
      <c r="M33" s="19">
        <f>IF(K33&gt;0,(K33*VLOOKUP(Lookups!$K$11,Lookups!$M$10:$P$40,4,0)/VLOOKUP(L33,Lookups!$M$10:$P$40,4,0)),"")</f>
        <v>2096.599425421025</v>
      </c>
      <c r="N33" s="15"/>
      <c r="O33" s="17"/>
      <c r="P33" s="19" t="str">
        <f>IF(N33&gt;0,(N33*VLOOKUP(Lookups!$K$11,Lookups!$M$10:$P$40,4,0)/VLOOKUP(O33,Lookups!$M$10:$P$40,4,0)),"")</f>
        <v/>
      </c>
      <c r="Q33" s="16" t="s">
        <v>1232</v>
      </c>
      <c r="R33" s="38" t="s">
        <v>621</v>
      </c>
      <c r="S33" s="13" t="s">
        <v>2028</v>
      </c>
      <c r="T33" s="13" t="s">
        <v>1912</v>
      </c>
      <c r="U33" s="13" t="s">
        <v>119</v>
      </c>
    </row>
    <row r="34" spans="1:21" s="90" customFormat="1" ht="60" hidden="1" customHeight="1" outlineLevel="1" x14ac:dyDescent="0.2">
      <c r="A34" s="46" t="s">
        <v>1735</v>
      </c>
      <c r="B34" s="46" t="s">
        <v>381</v>
      </c>
      <c r="C34" s="46" t="s">
        <v>2212</v>
      </c>
      <c r="D34" s="46" t="s">
        <v>1676</v>
      </c>
      <c r="E34" s="13" t="s">
        <v>1342</v>
      </c>
      <c r="F34" s="37"/>
      <c r="G34" s="37"/>
      <c r="H34" s="89"/>
      <c r="I34" s="17"/>
      <c r="J34" s="19" t="str">
        <f>IF(H34&gt;0,(H34*VLOOKUP(Lookups!$K$11,Lookups!$M$10:$P$40,4,0)/VLOOKUP(I34,Lookups!$M$10:$P$40,4,0)),"")</f>
        <v/>
      </c>
      <c r="K34" s="89">
        <v>17574</v>
      </c>
      <c r="L34" s="17" t="s">
        <v>664</v>
      </c>
      <c r="M34" s="19">
        <f>IF(K34&gt;0,(K34*VLOOKUP(Lookups!$K$11,Lookups!$M$10:$P$40,4,0)/VLOOKUP(L34,Lookups!$M$10:$P$40,4,0)),"")</f>
        <v>19143.077439848861</v>
      </c>
      <c r="N34" s="89"/>
      <c r="O34" s="17"/>
      <c r="P34" s="19" t="str">
        <f>IF(N34&gt;0,(N34*VLOOKUP(Lookups!$K$11,Lookups!$M$10:$P$40,4,0)/VLOOKUP(O34,Lookups!$M$10:$P$40,4,0)),"")</f>
        <v/>
      </c>
      <c r="Q34" s="96" t="s">
        <v>1748</v>
      </c>
      <c r="R34" s="38" t="s">
        <v>621</v>
      </c>
      <c r="S34" s="37" t="s">
        <v>2343</v>
      </c>
      <c r="T34" s="13" t="s">
        <v>1912</v>
      </c>
      <c r="U34" s="13" t="s">
        <v>120</v>
      </c>
    </row>
    <row r="35" spans="1:21" s="90" customFormat="1" ht="60" hidden="1" customHeight="1" outlineLevel="1" x14ac:dyDescent="0.2">
      <c r="A35" s="46" t="s">
        <v>1735</v>
      </c>
      <c r="B35" s="46" t="s">
        <v>381</v>
      </c>
      <c r="C35" s="46" t="s">
        <v>1117</v>
      </c>
      <c r="D35" s="46" t="s">
        <v>1157</v>
      </c>
      <c r="E35" s="13" t="s">
        <v>1342</v>
      </c>
      <c r="F35" s="37"/>
      <c r="G35" s="37"/>
      <c r="H35" s="89"/>
      <c r="I35" s="17"/>
      <c r="J35" s="19" t="str">
        <f>IF(H35&gt;0,(H35*VLOOKUP(Lookups!$K$11,Lookups!$M$10:$P$40,4,0)/VLOOKUP(I35,Lookups!$M$10:$P$40,4,0)),"")</f>
        <v/>
      </c>
      <c r="K35" s="89">
        <v>20352</v>
      </c>
      <c r="L35" s="17" t="s">
        <v>664</v>
      </c>
      <c r="M35" s="19">
        <f>IF(K35&gt;0,(K35*VLOOKUP(Lookups!$K$11,Lookups!$M$10:$P$40,4,0)/VLOOKUP(L35,Lookups!$M$10:$P$40,4,0)),"")</f>
        <v>22169.108458848528</v>
      </c>
      <c r="N35" s="89"/>
      <c r="O35" s="17"/>
      <c r="P35" s="19" t="str">
        <f>IF(N35&gt;0,(N35*VLOOKUP(Lookups!$K$11,Lookups!$M$10:$P$40,4,0)/VLOOKUP(O35,Lookups!$M$10:$P$40,4,0)),"")</f>
        <v/>
      </c>
      <c r="Q35" s="96" t="s">
        <v>1749</v>
      </c>
      <c r="R35" s="38" t="s">
        <v>621</v>
      </c>
      <c r="S35" s="37" t="s">
        <v>2343</v>
      </c>
      <c r="T35" s="13" t="s">
        <v>1912</v>
      </c>
      <c r="U35" s="13" t="s">
        <v>120</v>
      </c>
    </row>
    <row r="36" spans="1:21" s="90" customFormat="1" ht="60" hidden="1" customHeight="1" outlineLevel="1" x14ac:dyDescent="0.2">
      <c r="A36" s="46" t="s">
        <v>1735</v>
      </c>
      <c r="B36" s="46" t="s">
        <v>381</v>
      </c>
      <c r="C36" s="46" t="s">
        <v>1118</v>
      </c>
      <c r="D36" s="46" t="s">
        <v>830</v>
      </c>
      <c r="E36" s="13" t="s">
        <v>1342</v>
      </c>
      <c r="F36" s="37"/>
      <c r="G36" s="37"/>
      <c r="H36" s="89"/>
      <c r="I36" s="17"/>
      <c r="J36" s="19" t="str">
        <f>IF(H36&gt;0,(H36*VLOOKUP(Lookups!$K$11,Lookups!$M$10:$P$40,4,0)/VLOOKUP(I36,Lookups!$M$10:$P$40,4,0)),"")</f>
        <v/>
      </c>
      <c r="K36" s="89">
        <v>18922</v>
      </c>
      <c r="L36" s="17" t="s">
        <v>664</v>
      </c>
      <c r="M36" s="19">
        <f>IF(K36&gt;0,(K36*VLOOKUP(Lookups!$K$11,Lookups!$M$10:$P$40,4,0)/VLOOKUP(L36,Lookups!$M$10:$P$40,4,0)),"")</f>
        <v>20611.432304359856</v>
      </c>
      <c r="N36" s="89"/>
      <c r="O36" s="17"/>
      <c r="P36" s="19" t="str">
        <f>IF(N36&gt;0,(N36*VLOOKUP(Lookups!$K$11,Lookups!$M$10:$P$40,4,0)/VLOOKUP(O36,Lookups!$M$10:$P$40,4,0)),"")</f>
        <v/>
      </c>
      <c r="Q36" s="96" t="s">
        <v>1236</v>
      </c>
      <c r="R36" s="38" t="s">
        <v>621</v>
      </c>
      <c r="S36" s="37" t="s">
        <v>2343</v>
      </c>
      <c r="T36" s="13" t="s">
        <v>1912</v>
      </c>
      <c r="U36" s="13" t="s">
        <v>120</v>
      </c>
    </row>
    <row r="37" spans="1:21" s="40" customFormat="1" ht="60" customHeight="1" x14ac:dyDescent="0.2">
      <c r="A37" s="42" t="s">
        <v>1735</v>
      </c>
      <c r="B37" s="42" t="s">
        <v>381</v>
      </c>
      <c r="C37" s="42" t="s">
        <v>1110</v>
      </c>
      <c r="D37" s="42" t="s">
        <v>2054</v>
      </c>
      <c r="E37" s="13" t="s">
        <v>1342</v>
      </c>
      <c r="F37" s="13" t="s">
        <v>666</v>
      </c>
      <c r="G37" s="13"/>
      <c r="H37" s="15">
        <f>110000/40</f>
        <v>2750</v>
      </c>
      <c r="I37" s="17" t="s">
        <v>664</v>
      </c>
      <c r="J37" s="19">
        <f>IF(H37&gt;0,(H37*VLOOKUP(Lookups!$K$11,Lookups!$M$10:$P$40,4,0)/VLOOKUP(I37,Lookups!$M$10:$P$40,4,0)),"")</f>
        <v>2995.531066324364</v>
      </c>
      <c r="K37" s="89">
        <f>125000/40</f>
        <v>3125</v>
      </c>
      <c r="L37" s="17" t="s">
        <v>664</v>
      </c>
      <c r="M37" s="19">
        <f>IF(K37&gt;0,(K37*VLOOKUP(Lookups!$K$11,Lookups!$M$10:$P$40,4,0)/VLOOKUP(L37,Lookups!$M$10:$P$40,4,0)),"")</f>
        <v>3404.0125753685952</v>
      </c>
      <c r="N37" s="15"/>
      <c r="O37" s="17"/>
      <c r="P37" s="19" t="str">
        <f>IF(N37&gt;0,(N37*VLOOKUP(Lookups!$K$11,Lookups!$M$10:$P$40,4,0)/VLOOKUP(O37,Lookups!$M$10:$P$40,4,0)),"")</f>
        <v/>
      </c>
      <c r="Q37" s="95" t="s">
        <v>1675</v>
      </c>
      <c r="R37" s="38" t="s">
        <v>621</v>
      </c>
      <c r="S37" s="13" t="s">
        <v>2029</v>
      </c>
      <c r="T37" s="13" t="s">
        <v>1912</v>
      </c>
      <c r="U37" s="13" t="s">
        <v>119</v>
      </c>
    </row>
    <row r="38" spans="1:21" collapsed="1" x14ac:dyDescent="0.2"/>
    <row r="39" spans="1:21" x14ac:dyDescent="0.2">
      <c r="D39" s="80"/>
    </row>
    <row r="40" spans="1:21" ht="12.75" customHeight="1" x14ac:dyDescent="0.2">
      <c r="A40" s="179" t="s">
        <v>1231</v>
      </c>
      <c r="D40" s="80"/>
      <c r="I40" s="60" t="s">
        <v>729</v>
      </c>
      <c r="L40" s="60" t="s">
        <v>729</v>
      </c>
      <c r="O40" s="60" t="s">
        <v>729</v>
      </c>
      <c r="R40" s="60" t="s">
        <v>616</v>
      </c>
      <c r="T40" s="5" t="s">
        <v>1911</v>
      </c>
    </row>
    <row r="41" spans="1:21" x14ac:dyDescent="0.2">
      <c r="A41" s="180"/>
      <c r="D41" s="80"/>
      <c r="I41" s="60" t="s">
        <v>728</v>
      </c>
      <c r="L41" s="60" t="s">
        <v>728</v>
      </c>
      <c r="O41" s="60" t="s">
        <v>728</v>
      </c>
      <c r="R41" s="60" t="s">
        <v>619</v>
      </c>
      <c r="T41" s="5" t="s">
        <v>1912</v>
      </c>
    </row>
    <row r="42" spans="1:21" x14ac:dyDescent="0.2">
      <c r="A42" s="180"/>
      <c r="D42" s="80"/>
      <c r="I42" s="17" t="s">
        <v>727</v>
      </c>
      <c r="L42" s="17" t="s">
        <v>727</v>
      </c>
      <c r="O42" s="17" t="s">
        <v>727</v>
      </c>
      <c r="R42" s="60" t="s">
        <v>621</v>
      </c>
    </row>
    <row r="43" spans="1:21" x14ac:dyDescent="0.2">
      <c r="A43" s="180"/>
      <c r="D43" s="80"/>
      <c r="I43" s="17" t="s">
        <v>726</v>
      </c>
      <c r="L43" s="17" t="s">
        <v>726</v>
      </c>
      <c r="O43" s="17" t="s">
        <v>726</v>
      </c>
    </row>
    <row r="44" spans="1:21" x14ac:dyDescent="0.2">
      <c r="A44" s="180"/>
      <c r="D44" s="80"/>
      <c r="I44" s="17" t="s">
        <v>665</v>
      </c>
      <c r="L44" s="17" t="s">
        <v>665</v>
      </c>
      <c r="O44" s="17" t="s">
        <v>665</v>
      </c>
    </row>
    <row r="45" spans="1:21" x14ac:dyDescent="0.2">
      <c r="A45" s="180"/>
      <c r="D45" s="80"/>
      <c r="I45" s="17" t="s">
        <v>664</v>
      </c>
      <c r="L45" s="17" t="s">
        <v>664</v>
      </c>
      <c r="O45" s="17" t="s">
        <v>664</v>
      </c>
    </row>
    <row r="46" spans="1:21" x14ac:dyDescent="0.2">
      <c r="A46" s="180"/>
      <c r="D46" s="80"/>
      <c r="I46" s="17" t="s">
        <v>663</v>
      </c>
      <c r="L46" s="17" t="s">
        <v>663</v>
      </c>
      <c r="O46" s="17" t="s">
        <v>663</v>
      </c>
    </row>
    <row r="47" spans="1:21" x14ac:dyDescent="0.2">
      <c r="A47" s="180"/>
      <c r="D47" s="80"/>
      <c r="I47" s="17" t="s">
        <v>662</v>
      </c>
      <c r="L47" s="17" t="s">
        <v>662</v>
      </c>
      <c r="O47" s="17" t="s">
        <v>662</v>
      </c>
    </row>
    <row r="48" spans="1:21" x14ac:dyDescent="0.2">
      <c r="A48" s="180"/>
      <c r="D48" s="80"/>
      <c r="I48" s="17" t="s">
        <v>661</v>
      </c>
      <c r="L48" s="17" t="s">
        <v>661</v>
      </c>
      <c r="O48" s="17" t="s">
        <v>661</v>
      </c>
    </row>
    <row r="49" spans="1:15" x14ac:dyDescent="0.2">
      <c r="A49" s="180"/>
      <c r="D49" s="80"/>
      <c r="I49" s="17" t="s">
        <v>660</v>
      </c>
      <c r="L49" s="17" t="s">
        <v>660</v>
      </c>
      <c r="O49" s="17" t="s">
        <v>660</v>
      </c>
    </row>
    <row r="50" spans="1:15" x14ac:dyDescent="0.2">
      <c r="A50" s="180"/>
      <c r="D50" s="80"/>
      <c r="I50" s="17" t="s">
        <v>659</v>
      </c>
      <c r="L50" s="17" t="s">
        <v>659</v>
      </c>
      <c r="O50" s="17" t="s">
        <v>659</v>
      </c>
    </row>
    <row r="51" spans="1:15" x14ac:dyDescent="0.2">
      <c r="A51" s="180"/>
      <c r="D51" s="80"/>
      <c r="I51" s="17" t="s">
        <v>658</v>
      </c>
      <c r="L51" s="17" t="s">
        <v>658</v>
      </c>
      <c r="O51" s="17" t="s">
        <v>658</v>
      </c>
    </row>
    <row r="52" spans="1:15" x14ac:dyDescent="0.2">
      <c r="A52" s="180"/>
      <c r="D52" s="80"/>
      <c r="I52" s="17" t="s">
        <v>657</v>
      </c>
      <c r="L52" s="17" t="s">
        <v>657</v>
      </c>
      <c r="O52" s="17" t="s">
        <v>657</v>
      </c>
    </row>
    <row r="53" spans="1:15" x14ac:dyDescent="0.2">
      <c r="A53" s="180"/>
      <c r="D53" s="80"/>
      <c r="I53" s="17" t="s">
        <v>656</v>
      </c>
      <c r="L53" s="17" t="s">
        <v>656</v>
      </c>
      <c r="O53" s="17" t="s">
        <v>656</v>
      </c>
    </row>
    <row r="54" spans="1:15" x14ac:dyDescent="0.2">
      <c r="A54" s="180"/>
      <c r="D54" s="80"/>
      <c r="I54" s="17" t="s">
        <v>653</v>
      </c>
      <c r="L54" s="17" t="s">
        <v>653</v>
      </c>
      <c r="O54" s="17" t="s">
        <v>653</v>
      </c>
    </row>
    <row r="55" spans="1:15" x14ac:dyDescent="0.2">
      <c r="A55" s="180"/>
      <c r="D55" s="80"/>
      <c r="I55" s="17" t="s">
        <v>654</v>
      </c>
      <c r="L55" s="17" t="s">
        <v>654</v>
      </c>
      <c r="O55" s="17" t="s">
        <v>654</v>
      </c>
    </row>
    <row r="56" spans="1:15" x14ac:dyDescent="0.2">
      <c r="A56" s="180"/>
      <c r="D56" s="80"/>
      <c r="I56" s="17" t="s">
        <v>655</v>
      </c>
      <c r="L56" s="17" t="s">
        <v>655</v>
      </c>
      <c r="O56" s="17" t="s">
        <v>655</v>
      </c>
    </row>
    <row r="57" spans="1:15" x14ac:dyDescent="0.2">
      <c r="A57" s="180"/>
      <c r="D57" s="80"/>
      <c r="I57" s="17" t="s">
        <v>652</v>
      </c>
      <c r="L57" s="17" t="s">
        <v>652</v>
      </c>
      <c r="O57" s="17" t="s">
        <v>652</v>
      </c>
    </row>
    <row r="58" spans="1:15" x14ac:dyDescent="0.2">
      <c r="A58" s="180"/>
      <c r="D58" s="80"/>
      <c r="I58" s="17" t="s">
        <v>651</v>
      </c>
      <c r="L58" s="17" t="s">
        <v>651</v>
      </c>
      <c r="O58" s="17" t="s">
        <v>651</v>
      </c>
    </row>
    <row r="59" spans="1:15" x14ac:dyDescent="0.2">
      <c r="A59" s="180"/>
      <c r="D59" s="80"/>
      <c r="I59" s="17" t="s">
        <v>650</v>
      </c>
      <c r="L59" s="17" t="s">
        <v>650</v>
      </c>
      <c r="O59" s="17" t="s">
        <v>650</v>
      </c>
    </row>
    <row r="60" spans="1:15" x14ac:dyDescent="0.2">
      <c r="A60" s="180"/>
      <c r="D60" s="80"/>
      <c r="I60" s="17" t="s">
        <v>649</v>
      </c>
      <c r="L60" s="17" t="s">
        <v>649</v>
      </c>
      <c r="O60" s="17" t="s">
        <v>649</v>
      </c>
    </row>
    <row r="61" spans="1:15" x14ac:dyDescent="0.2">
      <c r="A61" s="180"/>
      <c r="D61" s="80"/>
      <c r="I61" s="17" t="s">
        <v>725</v>
      </c>
      <c r="L61" s="17" t="s">
        <v>725</v>
      </c>
      <c r="O61" s="17" t="s">
        <v>725</v>
      </c>
    </row>
    <row r="62" spans="1:15" x14ac:dyDescent="0.2">
      <c r="A62" s="180"/>
      <c r="D62" s="80"/>
      <c r="I62" s="17" t="s">
        <v>724</v>
      </c>
      <c r="L62" s="17" t="s">
        <v>724</v>
      </c>
      <c r="O62" s="17" t="s">
        <v>724</v>
      </c>
    </row>
    <row r="63" spans="1:15" x14ac:dyDescent="0.2">
      <c r="A63" s="180"/>
      <c r="D63" s="80"/>
      <c r="I63" s="17" t="s">
        <v>723</v>
      </c>
      <c r="L63" s="17" t="s">
        <v>723</v>
      </c>
      <c r="O63" s="17" t="s">
        <v>723</v>
      </c>
    </row>
    <row r="64" spans="1:15" x14ac:dyDescent="0.2">
      <c r="A64" s="181"/>
      <c r="D64" s="80"/>
      <c r="I64" s="17" t="s">
        <v>722</v>
      </c>
      <c r="L64" s="17" t="s">
        <v>722</v>
      </c>
      <c r="O64" s="17" t="s">
        <v>722</v>
      </c>
    </row>
    <row r="65" spans="4:15" x14ac:dyDescent="0.2">
      <c r="D65" s="80"/>
      <c r="I65" s="17" t="s">
        <v>721</v>
      </c>
      <c r="L65" s="17" t="s">
        <v>721</v>
      </c>
      <c r="O65" s="17" t="s">
        <v>721</v>
      </c>
    </row>
    <row r="66" spans="4:15" x14ac:dyDescent="0.2">
      <c r="D66" s="80"/>
      <c r="I66" s="17" t="s">
        <v>720</v>
      </c>
      <c r="L66" s="17" t="s">
        <v>720</v>
      </c>
      <c r="O66" s="17" t="s">
        <v>720</v>
      </c>
    </row>
    <row r="67" spans="4:15" x14ac:dyDescent="0.2">
      <c r="D67" s="80"/>
    </row>
    <row r="68" spans="4:15" x14ac:dyDescent="0.2">
      <c r="D68" s="80"/>
    </row>
    <row r="69" spans="4:15" x14ac:dyDescent="0.2">
      <c r="D69" s="80"/>
    </row>
    <row r="70" spans="4:15" x14ac:dyDescent="0.2">
      <c r="D70" s="80"/>
    </row>
    <row r="71" spans="4:15" x14ac:dyDescent="0.2">
      <c r="D71" s="80"/>
    </row>
    <row r="72" spans="4:15" x14ac:dyDescent="0.2">
      <c r="D72" s="80"/>
    </row>
    <row r="73" spans="4:15" x14ac:dyDescent="0.2">
      <c r="D73" s="80"/>
    </row>
    <row r="74" spans="4:15" x14ac:dyDescent="0.2">
      <c r="D74" s="80"/>
    </row>
    <row r="75" spans="4:15" x14ac:dyDescent="0.2">
      <c r="D75" s="80"/>
    </row>
    <row r="76" spans="4:15" x14ac:dyDescent="0.2">
      <c r="D76" s="80"/>
    </row>
    <row r="77" spans="4:15" x14ac:dyDescent="0.2">
      <c r="D77" s="80"/>
    </row>
    <row r="78" spans="4:15" x14ac:dyDescent="0.2">
      <c r="D78" s="80"/>
    </row>
    <row r="79" spans="4:15" x14ac:dyDescent="0.2">
      <c r="D79" s="80"/>
    </row>
    <row r="80" spans="4:15" x14ac:dyDescent="0.2">
      <c r="D80" s="80"/>
    </row>
    <row r="81" spans="4:4" x14ac:dyDescent="0.2">
      <c r="D81" s="80"/>
    </row>
    <row r="82" spans="4:4" x14ac:dyDescent="0.2">
      <c r="D82" s="80"/>
    </row>
    <row r="83" spans="4:4" x14ac:dyDescent="0.2">
      <c r="D83" s="80"/>
    </row>
    <row r="84" spans="4:4" x14ac:dyDescent="0.2">
      <c r="D84" s="80"/>
    </row>
    <row r="85" spans="4:4" x14ac:dyDescent="0.2">
      <c r="D85" s="80"/>
    </row>
    <row r="86" spans="4:4" x14ac:dyDescent="0.2">
      <c r="D86" s="80"/>
    </row>
    <row r="87" spans="4:4" x14ac:dyDescent="0.2">
      <c r="D87" s="80"/>
    </row>
    <row r="88" spans="4:4" x14ac:dyDescent="0.2">
      <c r="D88" s="80"/>
    </row>
    <row r="89" spans="4:4" x14ac:dyDescent="0.2">
      <c r="D89" s="80"/>
    </row>
    <row r="90" spans="4:4" x14ac:dyDescent="0.2">
      <c r="D90" s="80"/>
    </row>
    <row r="91" spans="4:4" x14ac:dyDescent="0.2">
      <c r="D91" s="80"/>
    </row>
    <row r="92" spans="4:4" x14ac:dyDescent="0.2">
      <c r="D92" s="80"/>
    </row>
    <row r="93" spans="4:4" x14ac:dyDescent="0.2">
      <c r="D93" s="80"/>
    </row>
    <row r="94" spans="4:4" x14ac:dyDescent="0.2">
      <c r="D94" s="80"/>
    </row>
    <row r="95" spans="4:4" x14ac:dyDescent="0.2">
      <c r="D95" s="80"/>
    </row>
    <row r="96" spans="4:4" x14ac:dyDescent="0.2">
      <c r="D96" s="80"/>
    </row>
    <row r="97" spans="4:4" x14ac:dyDescent="0.2">
      <c r="D97" s="80"/>
    </row>
    <row r="98" spans="4:4" x14ac:dyDescent="0.2">
      <c r="D98" s="80"/>
    </row>
    <row r="99" spans="4:4" x14ac:dyDescent="0.2">
      <c r="D99" s="80"/>
    </row>
    <row r="100" spans="4:4" x14ac:dyDescent="0.2">
      <c r="D100" s="80"/>
    </row>
    <row r="101" spans="4:4" x14ac:dyDescent="0.2">
      <c r="D101" s="80"/>
    </row>
    <row r="102" spans="4:4" x14ac:dyDescent="0.2">
      <c r="D102" s="80"/>
    </row>
    <row r="103" spans="4:4" x14ac:dyDescent="0.2">
      <c r="D103" s="80"/>
    </row>
    <row r="104" spans="4:4" x14ac:dyDescent="0.2">
      <c r="D104" s="80"/>
    </row>
    <row r="105" spans="4:4" x14ac:dyDescent="0.2">
      <c r="D105" s="80"/>
    </row>
    <row r="106" spans="4:4" x14ac:dyDescent="0.2">
      <c r="D106" s="80"/>
    </row>
    <row r="107" spans="4:4" x14ac:dyDescent="0.2">
      <c r="D107" s="80"/>
    </row>
    <row r="108" spans="4:4" x14ac:dyDescent="0.2">
      <c r="D108" s="80"/>
    </row>
    <row r="109" spans="4:4" x14ac:dyDescent="0.2">
      <c r="D109" s="80"/>
    </row>
    <row r="110" spans="4:4" x14ac:dyDescent="0.2">
      <c r="D110" s="80"/>
    </row>
    <row r="111" spans="4:4" x14ac:dyDescent="0.2">
      <c r="D111" s="80"/>
    </row>
    <row r="112" spans="4:4" x14ac:dyDescent="0.2">
      <c r="D112" s="80"/>
    </row>
    <row r="113" spans="4:4" x14ac:dyDescent="0.2">
      <c r="D113" s="80"/>
    </row>
    <row r="114" spans="4:4" x14ac:dyDescent="0.2">
      <c r="D114" s="80"/>
    </row>
    <row r="115" spans="4:4" x14ac:dyDescent="0.2">
      <c r="D115" s="80"/>
    </row>
    <row r="116" spans="4:4" x14ac:dyDescent="0.2">
      <c r="D116" s="80"/>
    </row>
    <row r="117" spans="4:4" x14ac:dyDescent="0.2">
      <c r="D117" s="80"/>
    </row>
    <row r="118" spans="4:4" x14ac:dyDescent="0.2">
      <c r="D118" s="80"/>
    </row>
    <row r="119" spans="4:4" x14ac:dyDescent="0.2">
      <c r="D119" s="80"/>
    </row>
    <row r="120" spans="4:4" x14ac:dyDescent="0.2">
      <c r="D120" s="80"/>
    </row>
    <row r="121" spans="4:4" x14ac:dyDescent="0.2">
      <c r="D121" s="80"/>
    </row>
    <row r="122" spans="4:4" x14ac:dyDescent="0.2">
      <c r="D122" s="80"/>
    </row>
    <row r="123" spans="4:4" x14ac:dyDescent="0.2">
      <c r="D123" s="80"/>
    </row>
    <row r="124" spans="4:4" x14ac:dyDescent="0.2">
      <c r="D124" s="80"/>
    </row>
    <row r="125" spans="4:4" x14ac:dyDescent="0.2">
      <c r="D125" s="80"/>
    </row>
    <row r="126" spans="4:4" x14ac:dyDescent="0.2">
      <c r="D126" s="80"/>
    </row>
    <row r="127" spans="4:4" x14ac:dyDescent="0.2">
      <c r="D127" s="80"/>
    </row>
    <row r="128" spans="4:4" x14ac:dyDescent="0.2">
      <c r="D128" s="80"/>
    </row>
    <row r="129" spans="4:4" x14ac:dyDescent="0.2">
      <c r="D129" s="80"/>
    </row>
    <row r="130" spans="4:4" x14ac:dyDescent="0.2">
      <c r="D130" s="80"/>
    </row>
    <row r="131" spans="4:4" x14ac:dyDescent="0.2">
      <c r="D131" s="80"/>
    </row>
    <row r="132" spans="4:4" x14ac:dyDescent="0.2">
      <c r="D132" s="80"/>
    </row>
    <row r="133" spans="4:4" x14ac:dyDescent="0.2">
      <c r="D133" s="80"/>
    </row>
    <row r="134" spans="4:4" x14ac:dyDescent="0.2">
      <c r="D134" s="80"/>
    </row>
    <row r="135" spans="4:4" x14ac:dyDescent="0.2">
      <c r="D135" s="80"/>
    </row>
    <row r="136" spans="4:4" x14ac:dyDescent="0.2">
      <c r="D136" s="80"/>
    </row>
    <row r="137" spans="4:4" x14ac:dyDescent="0.2">
      <c r="D137" s="80"/>
    </row>
    <row r="138" spans="4:4" x14ac:dyDescent="0.2">
      <c r="D138" s="80"/>
    </row>
    <row r="139" spans="4:4" x14ac:dyDescent="0.2">
      <c r="D139" s="80"/>
    </row>
    <row r="140" spans="4:4" x14ac:dyDescent="0.2">
      <c r="D140" s="80"/>
    </row>
    <row r="141" spans="4:4" x14ac:dyDescent="0.2">
      <c r="D141" s="80"/>
    </row>
  </sheetData>
  <mergeCells count="14">
    <mergeCell ref="H1:J1"/>
    <mergeCell ref="K1:M1"/>
    <mergeCell ref="T1:U1"/>
    <mergeCell ref="Q1:Q2"/>
    <mergeCell ref="R1:R2"/>
    <mergeCell ref="S1:S2"/>
    <mergeCell ref="N1:P1"/>
    <mergeCell ref="F1:G1"/>
    <mergeCell ref="E1:E2"/>
    <mergeCell ref="D1:D2"/>
    <mergeCell ref="A40:A64"/>
    <mergeCell ref="A1:A2"/>
    <mergeCell ref="B1:B2"/>
    <mergeCell ref="C1:C2"/>
  </mergeCells>
  <phoneticPr fontId="5" type="noConversion"/>
  <conditionalFormatting sqref="R40:R42 R3:R37">
    <cfRule type="cellIs" dxfId="85" priority="492" stopIfTrue="1" operator="equal">
      <formula>$R$40</formula>
    </cfRule>
    <cfRule type="cellIs" dxfId="84" priority="493" stopIfTrue="1" operator="equal">
      <formula>$R$41</formula>
    </cfRule>
    <cfRule type="cellIs" dxfId="83" priority="494" stopIfTrue="1" operator="equal">
      <formula>$R$42</formula>
    </cfRule>
  </conditionalFormatting>
  <conditionalFormatting sqref="I42:I66 L40:L66 O40:O66 I3:I37 O3:O37 L3:L37">
    <cfRule type="cellIs" dxfId="82" priority="69" stopIfTrue="1" operator="between">
      <formula>$I$48</formula>
      <formula>$I$66</formula>
    </cfRule>
    <cfRule type="cellIs" dxfId="81" priority="70" stopIfTrue="1" operator="between">
      <formula>$I$47</formula>
      <formula>$I$45</formula>
    </cfRule>
    <cfRule type="cellIs" dxfId="80" priority="71" stopIfTrue="1" operator="between">
      <formula>$I$44</formula>
      <formula>$I$40</formula>
    </cfRule>
  </conditionalFormatting>
  <conditionalFormatting sqref="I40:I41 L40:L41 O40:O41">
    <cfRule type="cellIs" dxfId="79" priority="24" stopIfTrue="1" operator="lessThanOrEqual">
      <formula>$I$189</formula>
    </cfRule>
    <cfRule type="cellIs" dxfId="78" priority="25" stopIfTrue="1" operator="between">
      <formula>$I$188</formula>
      <formula>$I$186</formula>
    </cfRule>
    <cfRule type="cellIs" dxfId="77" priority="26" stopIfTrue="1" operator="greaterThanOrEqual">
      <formula>$I$185</formula>
    </cfRule>
  </conditionalFormatting>
  <conditionalFormatting sqref="R3:R37">
    <cfRule type="cellIs" dxfId="76" priority="984" stopIfTrue="1" operator="equal">
      <formula>$R$293</formula>
    </cfRule>
    <cfRule type="cellIs" dxfId="75" priority="985" stopIfTrue="1" operator="equal">
      <formula>$R$292</formula>
    </cfRule>
    <cfRule type="cellIs" dxfId="74" priority="986" stopIfTrue="1" operator="equal">
      <formula>$R$291</formula>
    </cfRule>
  </conditionalFormatting>
  <conditionalFormatting sqref="O3:O37 I3:I37 L3:L30 L32:L37">
    <cfRule type="cellIs" dxfId="73" priority="1008" stopIfTrue="1" operator="equal">
      <formula>$I$67</formula>
    </cfRule>
  </conditionalFormatting>
  <conditionalFormatting sqref="R20:R37">
    <cfRule type="cellIs" dxfId="72" priority="486" stopIfTrue="1" operator="equal">
      <formula>$R$42</formula>
    </cfRule>
    <cfRule type="cellIs" dxfId="71" priority="487" stopIfTrue="1" operator="equal">
      <formula>$R$41</formula>
    </cfRule>
    <cfRule type="cellIs" dxfId="70" priority="488" stopIfTrue="1" operator="equal">
      <formula>$R$40</formula>
    </cfRule>
  </conditionalFormatting>
  <conditionalFormatting sqref="R3:R37">
    <cfRule type="cellIs" dxfId="69" priority="993" stopIfTrue="1" operator="equal">
      <formula>$R$208</formula>
    </cfRule>
    <cfRule type="cellIs" dxfId="68" priority="994" stopIfTrue="1" operator="equal">
      <formula>$R$207</formula>
    </cfRule>
    <cfRule type="cellIs" dxfId="67" priority="995" stopIfTrue="1" operator="equal">
      <formula>$R$206</formula>
    </cfRule>
  </conditionalFormatting>
  <dataValidations count="8">
    <dataValidation type="list" allowBlank="1" showInputMessage="1" showErrorMessage="1" sqref="T4:T7 T9:T14 T16:T19">
      <formula1>$T$40:$T$41</formula1>
    </dataValidation>
    <dataValidation type="list" allowBlank="1" showInputMessage="1" showErrorMessage="1" sqref="T3 T20:T37 T8 T15">
      <formula1>$T$180:$T$181</formula1>
    </dataValidation>
    <dataValidation type="list" allowBlank="1" showInputMessage="1" showErrorMessage="1" sqref="F3:F12 F15:F37 G13:G14">
      <formula1>Level1agencysaving</formula1>
    </dataValidation>
    <dataValidation type="list" allowBlank="1" showInputMessage="1" showErrorMessage="1" sqref="F13:F14 G15:G37 G3:G12">
      <formula1>Level2agencysaving</formula1>
    </dataValidation>
    <dataValidation type="list" allowBlank="1" showInputMessage="1" showErrorMessage="1" sqref="E3:E37">
      <formula1>Unit</formula1>
    </dataValidation>
    <dataValidation type="list" allowBlank="1" showInputMessage="1" showErrorMessage="1" sqref="I3:I37 O3:O37 L3:L37">
      <formula1>Year</formula1>
    </dataValidation>
    <dataValidation type="list" allowBlank="1" showInputMessage="1" showErrorMessage="1" sqref="B3:B37">
      <formula1>Outcomedetail</formula1>
    </dataValidation>
    <dataValidation type="list" allowBlank="1" showInputMessage="1" showErrorMessage="1" sqref="A3:A37">
      <formula1>Outcomecategory</formula1>
    </dataValidation>
  </dataValidations>
  <hyperlinks>
    <hyperlink ref="Q15" r:id="rId1" display="Mental Health Promotion and Mental Illness Prevention: the economic case (Knapp et al, 2011)"/>
    <hyperlink ref="Q16" r:id="rId2" display="Mental Health Promotion and Mental Illness Prevention: the economic case (Knapp et al, 2011)"/>
    <hyperlink ref="Q17" r:id="rId3" display="Mental Health Promotion and Mental Illness Prevention: the economic case (Knapp et al, 2011)"/>
    <hyperlink ref="Q18" r:id="rId4" display="Mental Health Promotion and Mental Illness Prevention: the economic case (Knapp et al, 2011)"/>
    <hyperlink ref="Q19" r:id="rId5" display="Mental Health Promotion and Mental Illness Prevention: the economic case (Knapp et al, 2011)"/>
    <hyperlink ref="Q14" r:id="rId6" display="Mental Health Promotion and Mental Illness Prevention: the economic case (Knapp et al, 2011)"/>
    <hyperlink ref="Q3" r:id="rId7"/>
    <hyperlink ref="Q4:Q7" r:id="rId8" display="Misspent Youth (2007)"/>
    <hyperlink ref="Q8:Q12" r:id="rId9" display="Misspent Youth (2007)"/>
    <hyperlink ref="Q21" r:id="rId10" display="BIS (2011 ): Returns to Intermediate and Low Level Vocational Qualifications p9 to 10"/>
    <hyperlink ref="Q37" r:id="rId11"/>
    <hyperlink ref="Q13" r:id="rId12"/>
    <hyperlink ref="Q20:Q21" r:id="rId13" display="BIS (2011 ): Returns to Intermediate and Low Level Vocational Qualifications p9 to 10"/>
    <hyperlink ref="Q24" r:id="rId14"/>
    <hyperlink ref="Q25:Q29" r:id="rId15" display="IER (2011): Net Benefits of Training Study 2011 p82, quoted in Employer Investment in Apprenticeships and Workplace Learning: The Fifth Net Benefits of Training to Employers Study (BIS Research Paper Number 67, 2012)"/>
    <hyperlink ref="Q34:Q36" r:id="rId16" display="IER (2011): Net Benefits of Training Study 2011 p39, quoted in Employer Investment in Apprenticeships and Workplace Learning: The Fifth Net Benefits of Training to Employers Study (BIS Research Paper Number 67, 2012)"/>
  </hyperlinks>
  <pageMargins left="0.74803149606299213" right="0.74803149606299213" top="0.98425196850393704" bottom="0.98425196850393704" header="0.51181102362204722" footer="0.51181102362204722"/>
  <pageSetup paperSize="8" scale="44" orientation="landscape" r:id="rId17"/>
  <headerFooter alignWithMargins="0"/>
  <legacyDrawing r:id="rId1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outlinePr summaryBelow="0"/>
  </sheetPr>
  <dimension ref="A1:AE181"/>
  <sheetViews>
    <sheetView showGridLines="0" zoomScale="80" zoomScaleNormal="80" zoomScaleSheetLayoutView="80" workbookViewId="0">
      <pane xSplit="4" ySplit="2" topLeftCell="E3" activePane="bottomRight" state="frozen"/>
      <selection pane="topRight" activeCell="E1" sqref="E1"/>
      <selection pane="bottomLeft" activeCell="A3" sqref="A3"/>
      <selection pane="bottomRight" sqref="A1:A2"/>
    </sheetView>
  </sheetViews>
  <sheetFormatPr defaultRowHeight="12.75" outlineLevelRow="2" x14ac:dyDescent="0.2"/>
  <cols>
    <col min="1" max="1" width="12.625" style="85" customWidth="1"/>
    <col min="2" max="2" width="14.875" style="85" customWidth="1"/>
    <col min="3" max="3" width="8.5" style="85" customWidth="1"/>
    <col min="4" max="4" width="43.25" style="85" customWidth="1"/>
    <col min="5" max="5" width="15" style="82" customWidth="1"/>
    <col min="6" max="6" width="16" style="82" customWidth="1"/>
    <col min="7" max="7" width="15.75" style="82" customWidth="1"/>
    <col min="8" max="8" width="12.5" style="82" bestFit="1" customWidth="1"/>
    <col min="9" max="9" width="10" style="82" customWidth="1"/>
    <col min="10" max="10" width="12.5" style="84" bestFit="1" customWidth="1"/>
    <col min="11" max="11" width="12.5" style="82" bestFit="1" customWidth="1"/>
    <col min="12" max="12" width="10" style="82" customWidth="1"/>
    <col min="13" max="13" width="12.5" style="84" bestFit="1" customWidth="1"/>
    <col min="14" max="14" width="12.5" style="82" bestFit="1" customWidth="1"/>
    <col min="15" max="15" width="10" style="82" customWidth="1"/>
    <col min="16" max="16" width="12.5" style="84" bestFit="1" customWidth="1"/>
    <col min="17" max="17" width="46.125" style="81" customWidth="1"/>
    <col min="18" max="18" width="12.5" style="81" customWidth="1"/>
    <col min="19" max="19" width="78.25" style="81" customWidth="1"/>
    <col min="20" max="20" width="10.125" style="79" customWidth="1"/>
    <col min="21" max="21" width="20.875" style="79" customWidth="1"/>
    <col min="22" max="16384" width="9" style="79"/>
  </cols>
  <sheetData>
    <row r="1" spans="1:21" s="51" customFormat="1" ht="31.5" customHeight="1" x14ac:dyDescent="0.2">
      <c r="A1" s="182" t="s">
        <v>715</v>
      </c>
      <c r="B1" s="178" t="s">
        <v>716</v>
      </c>
      <c r="C1" s="178" t="s">
        <v>1409</v>
      </c>
      <c r="D1" s="178" t="s">
        <v>717</v>
      </c>
      <c r="E1" s="178" t="s">
        <v>644</v>
      </c>
      <c r="F1" s="178" t="s">
        <v>1778</v>
      </c>
      <c r="G1" s="178"/>
      <c r="H1" s="178" t="s">
        <v>1859</v>
      </c>
      <c r="I1" s="178"/>
      <c r="J1" s="178"/>
      <c r="K1" s="178" t="s">
        <v>1860</v>
      </c>
      <c r="L1" s="178"/>
      <c r="M1" s="178"/>
      <c r="N1" s="178" t="s">
        <v>1861</v>
      </c>
      <c r="O1" s="178"/>
      <c r="P1" s="178"/>
      <c r="Q1" s="178" t="s">
        <v>643</v>
      </c>
      <c r="R1" s="178" t="s">
        <v>966</v>
      </c>
      <c r="S1" s="178" t="s">
        <v>1408</v>
      </c>
      <c r="T1" s="178" t="s">
        <v>68</v>
      </c>
      <c r="U1" s="185"/>
    </row>
    <row r="2" spans="1:21" s="51" customFormat="1" ht="30" customHeight="1" collapsed="1" x14ac:dyDescent="0.2">
      <c r="A2" s="183"/>
      <c r="B2" s="184"/>
      <c r="C2" s="184"/>
      <c r="D2" s="184"/>
      <c r="E2" s="184"/>
      <c r="F2" s="107" t="s">
        <v>672</v>
      </c>
      <c r="G2" s="107" t="s">
        <v>673</v>
      </c>
      <c r="H2" s="107" t="s">
        <v>718</v>
      </c>
      <c r="I2" s="107" t="s">
        <v>648</v>
      </c>
      <c r="J2" s="107" t="s">
        <v>1403</v>
      </c>
      <c r="K2" s="107" t="s">
        <v>718</v>
      </c>
      <c r="L2" s="107" t="s">
        <v>648</v>
      </c>
      <c r="M2" s="107" t="s">
        <v>1403</v>
      </c>
      <c r="N2" s="107" t="s">
        <v>718</v>
      </c>
      <c r="O2" s="107" t="s">
        <v>648</v>
      </c>
      <c r="P2" s="107" t="s">
        <v>1403</v>
      </c>
      <c r="Q2" s="184"/>
      <c r="R2" s="184"/>
      <c r="S2" s="184"/>
      <c r="T2" s="108" t="s">
        <v>1910</v>
      </c>
      <c r="U2" s="109" t="s">
        <v>1909</v>
      </c>
    </row>
    <row r="3" spans="1:21" s="90" customFormat="1" ht="60" customHeight="1" collapsed="1" x14ac:dyDescent="0.2">
      <c r="A3" s="44" t="s">
        <v>1736</v>
      </c>
      <c r="B3" s="44" t="s">
        <v>624</v>
      </c>
      <c r="C3" s="44" t="s">
        <v>833</v>
      </c>
      <c r="D3" s="52" t="s">
        <v>2032</v>
      </c>
      <c r="E3" s="37" t="s">
        <v>1396</v>
      </c>
      <c r="F3" s="37" t="s">
        <v>712</v>
      </c>
      <c r="G3" s="37" t="s">
        <v>683</v>
      </c>
      <c r="H3" s="89">
        <v>9800</v>
      </c>
      <c r="I3" s="17" t="s">
        <v>726</v>
      </c>
      <c r="J3" s="19">
        <f>IF(H3&gt;0,(H3*VLOOKUP(Lookups!$K$11,Lookups!$M$10:$P$40,4,0)/VLOOKUP(I3,Lookups!$M$10:$P$40,4,0)),"")</f>
        <v>10320.685590852001</v>
      </c>
      <c r="K3" s="89">
        <v>14044</v>
      </c>
      <c r="L3" s="17" t="s">
        <v>726</v>
      </c>
      <c r="M3" s="19">
        <f>IF(K3&gt;0,(K3*VLOOKUP(Lookups!$K$11,Lookups!$M$10:$P$40,4,0)/VLOOKUP(L3,Lookups!$M$10:$P$40,4,0)),"")</f>
        <v>14790.174330400559</v>
      </c>
      <c r="N3" s="89"/>
      <c r="O3" s="17"/>
      <c r="P3" s="19" t="str">
        <f>IF(N3&gt;0,(N3*VLOOKUP(Lookups!$K$11,Lookups!$M$10:$P$40,4,0)/VLOOKUP(O3,Lookups!$M$10:$P$40,4,0)),"")</f>
        <v/>
      </c>
      <c r="Q3" s="96" t="s">
        <v>2398</v>
      </c>
      <c r="R3" s="38" t="s">
        <v>621</v>
      </c>
      <c r="S3" s="37" t="s">
        <v>2474</v>
      </c>
      <c r="T3" s="13" t="s">
        <v>1912</v>
      </c>
      <c r="U3" s="13" t="s">
        <v>167</v>
      </c>
    </row>
    <row r="4" spans="1:21" s="90" customFormat="1" ht="60" hidden="1" customHeight="1" outlineLevel="2" x14ac:dyDescent="0.2">
      <c r="A4" s="37" t="s">
        <v>1736</v>
      </c>
      <c r="B4" s="37" t="s">
        <v>624</v>
      </c>
      <c r="C4" s="37" t="s">
        <v>1136</v>
      </c>
      <c r="D4" s="45" t="s">
        <v>1134</v>
      </c>
      <c r="E4" s="37" t="s">
        <v>1396</v>
      </c>
      <c r="F4" s="37" t="s">
        <v>683</v>
      </c>
      <c r="G4" s="37" t="s">
        <v>666</v>
      </c>
      <c r="H4" s="89">
        <v>9234</v>
      </c>
      <c r="I4" s="17" t="s">
        <v>726</v>
      </c>
      <c r="J4" s="19">
        <f>IF(H4&gt;0,(H4*VLOOKUP(Lookups!$K$11,Lookups!$M$10:$P$40,4,0)/VLOOKUP(I4,Lookups!$M$10:$P$40,4,0)),"")</f>
        <v>9724.6133414211599</v>
      </c>
      <c r="K4" s="89"/>
      <c r="L4" s="17"/>
      <c r="M4" s="19" t="str">
        <f>IF(K4&gt;0,(K4*VLOOKUP(Lookups!$K$11,Lookups!$M$10:$P$40,4,0)/VLOOKUP(L4,Lookups!$M$10:$P$40,4,0)),"")</f>
        <v/>
      </c>
      <c r="N4" s="89"/>
      <c r="O4" s="17"/>
      <c r="P4" s="19" t="str">
        <f>IF(N4&gt;0,(N4*VLOOKUP(Lookups!$K$11,Lookups!$M$10:$P$40,4,0)/VLOOKUP(O4,Lookups!$M$10:$P$40,4,0)),"")</f>
        <v/>
      </c>
      <c r="Q4" s="96" t="s">
        <v>2398</v>
      </c>
      <c r="R4" s="38" t="s">
        <v>621</v>
      </c>
      <c r="S4" s="37" t="s">
        <v>1133</v>
      </c>
      <c r="T4" s="13" t="s">
        <v>1912</v>
      </c>
      <c r="U4" s="37" t="s">
        <v>168</v>
      </c>
    </row>
    <row r="5" spans="1:21" s="90" customFormat="1" ht="60" hidden="1" customHeight="1" outlineLevel="2" x14ac:dyDescent="0.2">
      <c r="A5" s="37" t="s">
        <v>1736</v>
      </c>
      <c r="B5" s="37" t="s">
        <v>624</v>
      </c>
      <c r="C5" s="37" t="s">
        <v>1137</v>
      </c>
      <c r="D5" s="45" t="s">
        <v>1135</v>
      </c>
      <c r="E5" s="37" t="s">
        <v>1396</v>
      </c>
      <c r="F5" s="37" t="s">
        <v>629</v>
      </c>
      <c r="G5" s="37"/>
      <c r="H5" s="89">
        <v>566</v>
      </c>
      <c r="I5" s="17" t="s">
        <v>726</v>
      </c>
      <c r="J5" s="19">
        <f>IF(H5&gt;0,(H5*VLOOKUP(Lookups!$K$11,Lookups!$M$10:$P$40,4,0)/VLOOKUP(I5,Lookups!$M$10:$P$40,4,0)),"")</f>
        <v>596.07224943083997</v>
      </c>
      <c r="K5" s="89"/>
      <c r="L5" s="17"/>
      <c r="M5" s="19" t="str">
        <f>IF(K5&gt;0,(K5*VLOOKUP(Lookups!$K$11,Lookups!$M$10:$P$40,4,0)/VLOOKUP(L5,Lookups!$M$10:$P$40,4,0)),"")</f>
        <v/>
      </c>
      <c r="N5" s="89"/>
      <c r="O5" s="17"/>
      <c r="P5" s="19" t="str">
        <f>IF(N5&gt;0,(N5*VLOOKUP(Lookups!$K$11,Lookups!$M$10:$P$40,4,0)/VLOOKUP(O5,Lookups!$M$10:$P$40,4,0)),"")</f>
        <v/>
      </c>
      <c r="Q5" s="96" t="s">
        <v>2398</v>
      </c>
      <c r="R5" s="38" t="s">
        <v>621</v>
      </c>
      <c r="S5" s="37" t="s">
        <v>1133</v>
      </c>
      <c r="T5" s="13" t="s">
        <v>1912</v>
      </c>
      <c r="U5" s="37" t="s">
        <v>168</v>
      </c>
    </row>
    <row r="6" spans="1:21" s="40" customFormat="1" ht="60" hidden="1" customHeight="1" outlineLevel="1" x14ac:dyDescent="0.2">
      <c r="A6" s="46" t="s">
        <v>1736</v>
      </c>
      <c r="B6" s="46" t="s">
        <v>624</v>
      </c>
      <c r="C6" s="46" t="s">
        <v>835</v>
      </c>
      <c r="D6" s="54" t="s">
        <v>1431</v>
      </c>
      <c r="E6" s="13" t="s">
        <v>631</v>
      </c>
      <c r="F6" s="13" t="s">
        <v>683</v>
      </c>
      <c r="G6" s="13" t="s">
        <v>1399</v>
      </c>
      <c r="H6" s="15">
        <v>113.7</v>
      </c>
      <c r="I6" s="17" t="s">
        <v>728</v>
      </c>
      <c r="J6" s="19">
        <f>IF(H6&gt;0,(H6*VLOOKUP(Lookups!$K$11,Lookups!$M$10:$P$40,4,0)/VLOOKUP(I6,Lookups!$M$10:$P$40,4,0)),"")</f>
        <v>115.29179999999999</v>
      </c>
      <c r="K6" s="15"/>
      <c r="L6" s="17"/>
      <c r="M6" s="19" t="str">
        <f>IF(K6&gt;0,(K6*VLOOKUP(Lookups!$K$11,Lookups!$M$10:$P$40,4,0)/VLOOKUP(L6,Lookups!$M$10:$P$40,4,0)),"")</f>
        <v/>
      </c>
      <c r="N6" s="15"/>
      <c r="O6" s="17"/>
      <c r="P6" s="19" t="str">
        <f>IF(N6&gt;0,(N6*VLOOKUP(Lookups!$K$11,Lookups!$M$10:$P$40,4,0)/VLOOKUP(O6,Lookups!$M$10:$P$40,4,0)),"")</f>
        <v/>
      </c>
      <c r="Q6" s="96" t="s">
        <v>2345</v>
      </c>
      <c r="R6" s="38" t="s">
        <v>621</v>
      </c>
      <c r="S6" s="13" t="s">
        <v>1430</v>
      </c>
      <c r="T6" s="13" t="s">
        <v>1912</v>
      </c>
      <c r="U6" s="13" t="s">
        <v>2344</v>
      </c>
    </row>
    <row r="7" spans="1:21" s="40" customFormat="1" ht="60" hidden="1" customHeight="1" outlineLevel="1" x14ac:dyDescent="0.2">
      <c r="A7" s="46" t="s">
        <v>1736</v>
      </c>
      <c r="B7" s="46" t="s">
        <v>624</v>
      </c>
      <c r="C7" s="46" t="s">
        <v>1693</v>
      </c>
      <c r="D7" s="54" t="s">
        <v>2346</v>
      </c>
      <c r="E7" s="13" t="s">
        <v>631</v>
      </c>
      <c r="F7" s="13" t="s">
        <v>683</v>
      </c>
      <c r="G7" s="13" t="s">
        <v>1399</v>
      </c>
      <c r="H7" s="15">
        <v>57.35</v>
      </c>
      <c r="I7" s="17" t="s">
        <v>728</v>
      </c>
      <c r="J7" s="19">
        <f>IF(H7&gt;0,(H7*VLOOKUP(Lookups!$K$11,Lookups!$M$10:$P$40,4,0)/VLOOKUP(I7,Lookups!$M$10:$P$40,4,0)),"")</f>
        <v>58.152900000000002</v>
      </c>
      <c r="K7" s="15"/>
      <c r="L7" s="17"/>
      <c r="M7" s="19" t="str">
        <f>IF(K7&gt;0,(K7*VLOOKUP(Lookups!$K$11,Lookups!$M$10:$P$40,4,0)/VLOOKUP(L7,Lookups!$M$10:$P$40,4,0)),"")</f>
        <v/>
      </c>
      <c r="N7" s="15"/>
      <c r="O7" s="17"/>
      <c r="P7" s="19" t="str">
        <f>IF(N7&gt;0,(N7*VLOOKUP(Lookups!$K$11,Lookups!$M$10:$P$40,4,0)/VLOOKUP(O7,Lookups!$M$10:$P$40,4,0)),"")</f>
        <v/>
      </c>
      <c r="Q7" s="96" t="s">
        <v>2345</v>
      </c>
      <c r="R7" s="38" t="s">
        <v>621</v>
      </c>
      <c r="S7" s="13" t="s">
        <v>1785</v>
      </c>
      <c r="T7" s="13" t="s">
        <v>1912</v>
      </c>
      <c r="U7" s="13" t="s">
        <v>2344</v>
      </c>
    </row>
    <row r="8" spans="1:21" s="40" customFormat="1" ht="60" hidden="1" customHeight="1" outlineLevel="1" x14ac:dyDescent="0.2">
      <c r="A8" s="46" t="s">
        <v>1736</v>
      </c>
      <c r="B8" s="46" t="s">
        <v>624</v>
      </c>
      <c r="C8" s="46" t="s">
        <v>1694</v>
      </c>
      <c r="D8" s="54" t="s">
        <v>2347</v>
      </c>
      <c r="E8" s="13" t="s">
        <v>631</v>
      </c>
      <c r="F8" s="13" t="s">
        <v>683</v>
      </c>
      <c r="G8" s="13" t="s">
        <v>1399</v>
      </c>
      <c r="H8" s="15">
        <v>72.400000000000006</v>
      </c>
      <c r="I8" s="17" t="s">
        <v>728</v>
      </c>
      <c r="J8" s="19">
        <f>IF(H8&gt;0,(H8*VLOOKUP(Lookups!$K$11,Lookups!$M$10:$P$40,4,0)/VLOOKUP(I8,Lookups!$M$10:$P$40,4,0)),"")</f>
        <v>73.413600000000002</v>
      </c>
      <c r="K8" s="15"/>
      <c r="L8" s="17"/>
      <c r="M8" s="19" t="str">
        <f>IF(K8&gt;0,(K8*VLOOKUP(Lookups!$K$11,Lookups!$M$10:$P$40,4,0)/VLOOKUP(L8,Lookups!$M$10:$P$40,4,0)),"")</f>
        <v/>
      </c>
      <c r="N8" s="15"/>
      <c r="O8" s="17"/>
      <c r="P8" s="19" t="str">
        <f>IF(N8&gt;0,(N8*VLOOKUP(Lookups!$K$11,Lookups!$M$10:$P$40,4,0)/VLOOKUP(O8,Lookups!$M$10:$P$40,4,0)),"")</f>
        <v/>
      </c>
      <c r="Q8" s="96" t="s">
        <v>2345</v>
      </c>
      <c r="R8" s="38" t="s">
        <v>621</v>
      </c>
      <c r="S8" s="13" t="s">
        <v>1784</v>
      </c>
      <c r="T8" s="13" t="s">
        <v>1912</v>
      </c>
      <c r="U8" s="13" t="s">
        <v>2344</v>
      </c>
    </row>
    <row r="9" spans="1:21" s="40" customFormat="1" ht="60" hidden="1" customHeight="1" outlineLevel="1" x14ac:dyDescent="0.2">
      <c r="A9" s="46" t="s">
        <v>1736</v>
      </c>
      <c r="B9" s="46" t="s">
        <v>624</v>
      </c>
      <c r="C9" s="46" t="s">
        <v>1695</v>
      </c>
      <c r="D9" s="54" t="s">
        <v>2349</v>
      </c>
      <c r="E9" s="13" t="s">
        <v>631</v>
      </c>
      <c r="F9" s="13" t="s">
        <v>683</v>
      </c>
      <c r="G9" s="13" t="s">
        <v>1399</v>
      </c>
      <c r="H9" s="15">
        <v>57.35</v>
      </c>
      <c r="I9" s="17" t="s">
        <v>728</v>
      </c>
      <c r="J9" s="19">
        <f>IF(H9&gt;0,(H9*VLOOKUP(Lookups!$K$11,Lookups!$M$10:$P$40,4,0)/VLOOKUP(I9,Lookups!$M$10:$P$40,4,0)),"")</f>
        <v>58.152900000000002</v>
      </c>
      <c r="K9" s="15"/>
      <c r="L9" s="17"/>
      <c r="M9" s="19" t="str">
        <f>IF(K9&gt;0,(K9*VLOOKUP(Lookups!$K$11,Lookups!$M$10:$P$40,4,0)/VLOOKUP(L9,Lookups!$M$10:$P$40,4,0)),"")</f>
        <v/>
      </c>
      <c r="N9" s="15"/>
      <c r="O9" s="17"/>
      <c r="P9" s="19" t="str">
        <f>IF(N9&gt;0,(N9*VLOOKUP(Lookups!$K$11,Lookups!$M$10:$P$40,4,0)/VLOOKUP(O9,Lookups!$M$10:$P$40,4,0)),"")</f>
        <v/>
      </c>
      <c r="Q9" s="96" t="s">
        <v>2345</v>
      </c>
      <c r="R9" s="38" t="s">
        <v>621</v>
      </c>
      <c r="S9" s="13" t="s">
        <v>2352</v>
      </c>
      <c r="T9" s="13" t="s">
        <v>1912</v>
      </c>
      <c r="U9" s="13" t="s">
        <v>2344</v>
      </c>
    </row>
    <row r="10" spans="1:21" s="40" customFormat="1" ht="60" hidden="1" customHeight="1" outlineLevel="1" x14ac:dyDescent="0.2">
      <c r="A10" s="46" t="s">
        <v>1736</v>
      </c>
      <c r="B10" s="46" t="s">
        <v>624</v>
      </c>
      <c r="C10" s="46" t="s">
        <v>1696</v>
      </c>
      <c r="D10" s="54" t="s">
        <v>2350</v>
      </c>
      <c r="E10" s="13" t="s">
        <v>631</v>
      </c>
      <c r="F10" s="13" t="s">
        <v>683</v>
      </c>
      <c r="G10" s="13" t="s">
        <v>1399</v>
      </c>
      <c r="H10" s="15">
        <v>72.400000000000006</v>
      </c>
      <c r="I10" s="17" t="s">
        <v>728</v>
      </c>
      <c r="J10" s="19">
        <f>IF(H10&gt;0,(H10*VLOOKUP(Lookups!$K$11,Lookups!$M$10:$P$40,4,0)/VLOOKUP(I10,Lookups!$M$10:$P$40,4,0)),"")</f>
        <v>73.413600000000002</v>
      </c>
      <c r="K10" s="15"/>
      <c r="L10" s="17"/>
      <c r="M10" s="19" t="str">
        <f>IF(K10&gt;0,(K10*VLOOKUP(Lookups!$K$11,Lookups!$M$10:$P$40,4,0)/VLOOKUP(L10,Lookups!$M$10:$P$40,4,0)),"")</f>
        <v/>
      </c>
      <c r="N10" s="15"/>
      <c r="O10" s="17"/>
      <c r="P10" s="19" t="str">
        <f>IF(N10&gt;0,(N10*VLOOKUP(Lookups!$K$11,Lookups!$M$10:$P$40,4,0)/VLOOKUP(O10,Lookups!$M$10:$P$40,4,0)),"")</f>
        <v/>
      </c>
      <c r="Q10" s="96" t="s">
        <v>2345</v>
      </c>
      <c r="R10" s="38" t="s">
        <v>621</v>
      </c>
      <c r="S10" s="13" t="s">
        <v>2351</v>
      </c>
      <c r="T10" s="13" t="s">
        <v>1912</v>
      </c>
      <c r="U10" s="13" t="s">
        <v>2344</v>
      </c>
    </row>
    <row r="11" spans="1:21" s="90" customFormat="1" ht="60" hidden="1" customHeight="1" outlineLevel="1" collapsed="1" x14ac:dyDescent="0.2">
      <c r="A11" s="46" t="s">
        <v>1736</v>
      </c>
      <c r="B11" s="46" t="s">
        <v>624</v>
      </c>
      <c r="C11" s="46" t="s">
        <v>1697</v>
      </c>
      <c r="D11" s="46" t="s">
        <v>1451</v>
      </c>
      <c r="E11" s="37" t="s">
        <v>641</v>
      </c>
      <c r="F11" s="37" t="s">
        <v>683</v>
      </c>
      <c r="G11" s="37" t="s">
        <v>1399</v>
      </c>
      <c r="H11" s="89">
        <v>71</v>
      </c>
      <c r="I11" s="17" t="s">
        <v>726</v>
      </c>
      <c r="J11" s="19">
        <f>IF(H11&gt;0,(H11*VLOOKUP(Lookups!$K$11,Lookups!$M$10:$P$40,4,0)/VLOOKUP(I11,Lookups!$M$10:$P$40,4,0)),"")</f>
        <v>74.772313974539998</v>
      </c>
      <c r="K11" s="89"/>
      <c r="L11" s="17"/>
      <c r="M11" s="19" t="str">
        <f>IF(K11&gt;0,(K11*VLOOKUP(Lookups!$K$11,Lookups!$M$10:$P$40,4,0)/VLOOKUP(L11,Lookups!$M$10:$P$40,4,0)),"")</f>
        <v/>
      </c>
      <c r="N11" s="89"/>
      <c r="O11" s="17"/>
      <c r="P11" s="19" t="str">
        <f>IF(N11&gt;0,(N11*VLOOKUP(Lookups!$K$11,Lookups!$M$10:$P$40,4,0)/VLOOKUP(O11,Lookups!$M$10:$P$40,4,0)),"")</f>
        <v/>
      </c>
      <c r="Q11" s="96" t="s">
        <v>1924</v>
      </c>
      <c r="R11" s="38" t="s">
        <v>621</v>
      </c>
      <c r="S11" s="97" t="s">
        <v>1512</v>
      </c>
      <c r="T11" s="13"/>
      <c r="U11" s="120" t="s">
        <v>2327</v>
      </c>
    </row>
    <row r="12" spans="1:21" s="40" customFormat="1" ht="60" hidden="1" customHeight="1" outlineLevel="1" x14ac:dyDescent="0.2">
      <c r="A12" s="46" t="s">
        <v>1736</v>
      </c>
      <c r="B12" s="46" t="s">
        <v>624</v>
      </c>
      <c r="C12" s="46" t="s">
        <v>1698</v>
      </c>
      <c r="D12" s="54" t="s">
        <v>1511</v>
      </c>
      <c r="E12" s="13" t="s">
        <v>641</v>
      </c>
      <c r="F12" s="13" t="s">
        <v>683</v>
      </c>
      <c r="G12" s="13" t="s">
        <v>1399</v>
      </c>
      <c r="H12" s="15">
        <v>363</v>
      </c>
      <c r="I12" s="17" t="s">
        <v>727</v>
      </c>
      <c r="J12" s="19">
        <f>IF(H12&gt;0,(H12*VLOOKUP(Lookups!$K$11,Lookups!$M$10:$P$40,4,0)/VLOOKUP(I12,Lookups!$M$10:$P$40,4,0)),"")</f>
        <v>374.33939399999991</v>
      </c>
      <c r="K12" s="15"/>
      <c r="L12" s="17"/>
      <c r="M12" s="19" t="str">
        <f>IF(K12&gt;0,(K12*VLOOKUP(Lookups!$K$11,Lookups!$M$10:$P$40,4,0)/VLOOKUP(L12,Lookups!$M$10:$P$40,4,0)),"")</f>
        <v/>
      </c>
      <c r="N12" s="15"/>
      <c r="O12" s="17"/>
      <c r="P12" s="19" t="str">
        <f>IF(N12&gt;0,(N12*VLOOKUP(Lookups!$K$11,Lookups!$M$10:$P$40,4,0)/VLOOKUP(O12,Lookups!$M$10:$P$40,4,0)),"")</f>
        <v/>
      </c>
      <c r="Q12" s="96" t="s">
        <v>1924</v>
      </c>
      <c r="R12" s="38" t="s">
        <v>621</v>
      </c>
      <c r="S12" s="47" t="s">
        <v>2326</v>
      </c>
      <c r="T12" s="13" t="s">
        <v>1912</v>
      </c>
      <c r="U12" s="13" t="s">
        <v>2328</v>
      </c>
    </row>
    <row r="13" spans="1:21" s="40" customFormat="1" ht="60" hidden="1" customHeight="1" outlineLevel="1" x14ac:dyDescent="0.2">
      <c r="A13" s="46" t="s">
        <v>1736</v>
      </c>
      <c r="B13" s="46" t="s">
        <v>624</v>
      </c>
      <c r="C13" s="46" t="s">
        <v>1699</v>
      </c>
      <c r="D13" s="54" t="s">
        <v>1510</v>
      </c>
      <c r="E13" s="13" t="s">
        <v>640</v>
      </c>
      <c r="F13" s="13" t="s">
        <v>683</v>
      </c>
      <c r="G13" s="13" t="s">
        <v>1399</v>
      </c>
      <c r="H13" s="15">
        <v>7</v>
      </c>
      <c r="I13" s="17" t="s">
        <v>726</v>
      </c>
      <c r="J13" s="19">
        <f>IF(H13&gt;0,(H13*VLOOKUP(Lookups!$K$11,Lookups!$M$10:$P$40,4,0)/VLOOKUP(I13,Lookups!$M$10:$P$40,4,0)),"")</f>
        <v>7.3719182791800009</v>
      </c>
      <c r="K13" s="15"/>
      <c r="L13" s="17"/>
      <c r="M13" s="19" t="str">
        <f>IF(K13&gt;0,(K13*VLOOKUP(Lookups!$K$11,Lookups!$M$10:$P$40,4,0)/VLOOKUP(L13,Lookups!$M$10:$P$40,4,0)),"")</f>
        <v/>
      </c>
      <c r="N13" s="15"/>
      <c r="O13" s="17"/>
      <c r="P13" s="19" t="str">
        <f>IF(N13&gt;0,(N13*VLOOKUP(Lookups!$K$11,Lookups!$M$10:$P$40,4,0)/VLOOKUP(O13,Lookups!$M$10:$P$40,4,0)),"")</f>
        <v/>
      </c>
      <c r="Q13" s="96" t="s">
        <v>1924</v>
      </c>
      <c r="R13" s="38" t="s">
        <v>621</v>
      </c>
      <c r="S13" s="47" t="s">
        <v>1436</v>
      </c>
      <c r="T13" s="13"/>
      <c r="U13" s="120" t="s">
        <v>2327</v>
      </c>
    </row>
    <row r="14" spans="1:21" s="90" customFormat="1" ht="60" hidden="1" customHeight="1" outlineLevel="1" x14ac:dyDescent="0.2">
      <c r="A14" s="46" t="s">
        <v>1736</v>
      </c>
      <c r="B14" s="46" t="s">
        <v>1361</v>
      </c>
      <c r="C14" s="46" t="s">
        <v>1700</v>
      </c>
      <c r="D14" s="54" t="s">
        <v>1923</v>
      </c>
      <c r="E14" s="13" t="s">
        <v>640</v>
      </c>
      <c r="F14" s="13" t="s">
        <v>683</v>
      </c>
      <c r="G14" s="13" t="s">
        <v>1399</v>
      </c>
      <c r="H14" s="89">
        <v>51</v>
      </c>
      <c r="I14" s="17" t="s">
        <v>726</v>
      </c>
      <c r="J14" s="19">
        <f>IF(H14&gt;0,(H14*VLOOKUP(Lookups!$K$11,Lookups!$M$10:$P$40,4,0)/VLOOKUP(I14,Lookups!$M$10:$P$40,4,0)),"")</f>
        <v>53.709690319739998</v>
      </c>
      <c r="K14" s="89"/>
      <c r="L14" s="17"/>
      <c r="M14" s="19" t="str">
        <f>IF(K14&gt;0,(K14*VLOOKUP(Lookups!$K$11,Lookups!$M$10:$P$40,4,0)/VLOOKUP(L14,Lookups!$M$10:$P$40,4,0)),"")</f>
        <v/>
      </c>
      <c r="N14" s="89"/>
      <c r="O14" s="17"/>
      <c r="P14" s="19" t="str">
        <f>IF(N14&gt;0,(N14*VLOOKUP(Lookups!$K$11,Lookups!$M$10:$P$40,4,0)/VLOOKUP(O14,Lookups!$M$10:$P$40,4,0)),"")</f>
        <v/>
      </c>
      <c r="Q14" s="96" t="s">
        <v>1924</v>
      </c>
      <c r="R14" s="38" t="s">
        <v>621</v>
      </c>
      <c r="S14" s="37" t="s">
        <v>1502</v>
      </c>
      <c r="T14" s="37"/>
      <c r="U14" s="120" t="s">
        <v>2327</v>
      </c>
    </row>
    <row r="15" spans="1:21" s="90" customFormat="1" ht="60" customHeight="1" collapsed="1" x14ac:dyDescent="0.2">
      <c r="A15" s="44" t="s">
        <v>1736</v>
      </c>
      <c r="B15" s="44" t="s">
        <v>624</v>
      </c>
      <c r="C15" s="44" t="s">
        <v>1140</v>
      </c>
      <c r="D15" s="52" t="s">
        <v>2030</v>
      </c>
      <c r="E15" s="37" t="s">
        <v>1396</v>
      </c>
      <c r="F15" s="37" t="s">
        <v>712</v>
      </c>
      <c r="G15" s="37" t="s">
        <v>683</v>
      </c>
      <c r="H15" s="89">
        <v>8632</v>
      </c>
      <c r="I15" s="17" t="s">
        <v>726</v>
      </c>
      <c r="J15" s="19">
        <f>IF(H15&gt;0,(H15*VLOOKUP(Lookups!$K$11,Lookups!$M$10:$P$40,4,0)/VLOOKUP(I15,Lookups!$M$10:$P$40,4,0)),"")</f>
        <v>9090.6283694116792</v>
      </c>
      <c r="K15" s="89">
        <v>12568</v>
      </c>
      <c r="L15" s="17" t="s">
        <v>726</v>
      </c>
      <c r="M15" s="19">
        <f>IF(K15&gt;0,(K15*VLOOKUP(Lookups!$K$11,Lookups!$M$10:$P$40,4,0)/VLOOKUP(L15,Lookups!$M$10:$P$40,4,0)),"")</f>
        <v>13235.752704676319</v>
      </c>
      <c r="N15" s="89"/>
      <c r="O15" s="17"/>
      <c r="P15" s="19" t="str">
        <f>IF(N15&gt;0,(N15*VLOOKUP(Lookups!$K$11,Lookups!$M$10:$P$40,4,0)/VLOOKUP(O15,Lookups!$M$10:$P$40,4,0)),"")</f>
        <v/>
      </c>
      <c r="Q15" s="130" t="s">
        <v>2475</v>
      </c>
      <c r="R15" s="38" t="s">
        <v>621</v>
      </c>
      <c r="S15" s="37" t="s">
        <v>2476</v>
      </c>
      <c r="T15" s="13" t="s">
        <v>1912</v>
      </c>
      <c r="U15" s="13" t="s">
        <v>167</v>
      </c>
    </row>
    <row r="16" spans="1:21" s="90" customFormat="1" ht="60" hidden="1" customHeight="1" outlineLevel="2" x14ac:dyDescent="0.2">
      <c r="A16" s="37" t="s">
        <v>1736</v>
      </c>
      <c r="B16" s="37" t="s">
        <v>624</v>
      </c>
      <c r="C16" s="37" t="s">
        <v>1455</v>
      </c>
      <c r="D16" s="45" t="s">
        <v>1131</v>
      </c>
      <c r="E16" s="37" t="s">
        <v>1396</v>
      </c>
      <c r="F16" s="37" t="s">
        <v>683</v>
      </c>
      <c r="G16" s="37" t="s">
        <v>666</v>
      </c>
      <c r="H16" s="89">
        <v>7500</v>
      </c>
      <c r="I16" s="17" t="s">
        <v>726</v>
      </c>
      <c r="J16" s="19">
        <f>IF(H16&gt;0,(H16*VLOOKUP(Lookups!$K$11,Lookups!$M$10:$P$40,4,0)/VLOOKUP(I16,Lookups!$M$10:$P$40,4,0)),"")</f>
        <v>7898.4838705500006</v>
      </c>
      <c r="K16" s="89"/>
      <c r="L16" s="17"/>
      <c r="M16" s="19" t="str">
        <f>IF(K16&gt;0,(K16*VLOOKUP(Lookups!$K$11,Lookups!$M$10:$P$40,4,0)/VLOOKUP(L16,Lookups!$M$10:$P$40,4,0)),"")</f>
        <v/>
      </c>
      <c r="N16" s="89"/>
      <c r="O16" s="17"/>
      <c r="P16" s="19" t="str">
        <f>IF(N16&gt;0,(N16*VLOOKUP(Lookups!$K$11,Lookups!$M$10:$P$40,4,0)/VLOOKUP(O16,Lookups!$M$10:$P$40,4,0)),"")</f>
        <v/>
      </c>
      <c r="Q16" s="128" t="s">
        <v>2475</v>
      </c>
      <c r="R16" s="38" t="s">
        <v>621</v>
      </c>
      <c r="S16" s="37" t="s">
        <v>1133</v>
      </c>
      <c r="T16" s="13" t="s">
        <v>1912</v>
      </c>
      <c r="U16" s="37" t="s">
        <v>168</v>
      </c>
    </row>
    <row r="17" spans="1:21" s="90" customFormat="1" ht="60" hidden="1" customHeight="1" outlineLevel="2" x14ac:dyDescent="0.2">
      <c r="A17" s="37" t="s">
        <v>1736</v>
      </c>
      <c r="B17" s="37" t="s">
        <v>624</v>
      </c>
      <c r="C17" s="37" t="s">
        <v>1456</v>
      </c>
      <c r="D17" s="45" t="s">
        <v>1132</v>
      </c>
      <c r="E17" s="37" t="s">
        <v>1396</v>
      </c>
      <c r="F17" s="37" t="s">
        <v>629</v>
      </c>
      <c r="G17" s="37"/>
      <c r="H17" s="89">
        <v>1132</v>
      </c>
      <c r="I17" s="17" t="s">
        <v>726</v>
      </c>
      <c r="J17" s="19">
        <f>IF(H17&gt;0,(H17*VLOOKUP(Lookups!$K$11,Lookups!$M$10:$P$40,4,0)/VLOOKUP(I17,Lookups!$M$10:$P$40,4,0)),"")</f>
        <v>1192.1444988616799</v>
      </c>
      <c r="K17" s="89"/>
      <c r="L17" s="17"/>
      <c r="M17" s="19" t="str">
        <f>IF(K17&gt;0,(K17*VLOOKUP(Lookups!$K$11,Lookups!$M$10:$P$40,4,0)/VLOOKUP(L17,Lookups!$M$10:$P$40,4,0)),"")</f>
        <v/>
      </c>
      <c r="N17" s="89"/>
      <c r="O17" s="17"/>
      <c r="P17" s="19" t="str">
        <f>IF(N17&gt;0,(N17*VLOOKUP(Lookups!$K$11,Lookups!$M$10:$P$40,4,0)/VLOOKUP(O17,Lookups!$M$10:$P$40,4,0)),"")</f>
        <v/>
      </c>
      <c r="Q17" s="128" t="s">
        <v>2475</v>
      </c>
      <c r="R17" s="38" t="s">
        <v>621</v>
      </c>
      <c r="S17" s="37" t="s">
        <v>1133</v>
      </c>
      <c r="T17" s="13" t="s">
        <v>1912</v>
      </c>
      <c r="U17" s="37" t="s">
        <v>168</v>
      </c>
    </row>
    <row r="18" spans="1:21" s="40" customFormat="1" ht="60" hidden="1" customHeight="1" outlineLevel="1" x14ac:dyDescent="0.2">
      <c r="A18" s="46" t="s">
        <v>1736</v>
      </c>
      <c r="B18" s="46" t="s">
        <v>624</v>
      </c>
      <c r="C18" s="46" t="s">
        <v>1074</v>
      </c>
      <c r="D18" s="46" t="s">
        <v>1515</v>
      </c>
      <c r="E18" s="13" t="s">
        <v>631</v>
      </c>
      <c r="F18" s="13" t="s">
        <v>683</v>
      </c>
      <c r="G18" s="13" t="s">
        <v>1399</v>
      </c>
      <c r="H18" s="15">
        <v>57.35</v>
      </c>
      <c r="I18" s="17" t="s">
        <v>728</v>
      </c>
      <c r="J18" s="19">
        <f>IF(H18&gt;0,(H18*VLOOKUP(Lookups!$K$11,Lookups!$M$10:$P$40,4,0)/VLOOKUP(I18,Lookups!$M$10:$P$40,4,0)),"")</f>
        <v>58.152900000000002</v>
      </c>
      <c r="K18" s="15"/>
      <c r="L18" s="17"/>
      <c r="M18" s="19" t="str">
        <f>IF(K18&gt;0,(K18*VLOOKUP(Lookups!$K$11,Lookups!$M$10:$P$40,4,0)/VLOOKUP(L18,Lookups!$M$10:$P$40,4,0)),"")</f>
        <v/>
      </c>
      <c r="N18" s="15"/>
      <c r="O18" s="17"/>
      <c r="P18" s="19" t="str">
        <f>IF(N18&gt;0,(N18*VLOOKUP(Lookups!$K$11,Lookups!$M$10:$P$40,4,0)/VLOOKUP(O18,Lookups!$M$10:$P$40,4,0)),"")</f>
        <v/>
      </c>
      <c r="Q18" s="96" t="s">
        <v>2348</v>
      </c>
      <c r="R18" s="38" t="s">
        <v>621</v>
      </c>
      <c r="S18" s="13" t="s">
        <v>1517</v>
      </c>
      <c r="T18" s="13" t="s">
        <v>1912</v>
      </c>
      <c r="U18" s="13" t="s">
        <v>2344</v>
      </c>
    </row>
    <row r="19" spans="1:21" s="40" customFormat="1" ht="60" hidden="1" customHeight="1" outlineLevel="1" x14ac:dyDescent="0.2">
      <c r="A19" s="46" t="s">
        <v>1736</v>
      </c>
      <c r="B19" s="46" t="s">
        <v>624</v>
      </c>
      <c r="C19" s="46" t="s">
        <v>1075</v>
      </c>
      <c r="D19" s="46" t="s">
        <v>1516</v>
      </c>
      <c r="E19" s="13" t="s">
        <v>631</v>
      </c>
      <c r="F19" s="13" t="s">
        <v>683</v>
      </c>
      <c r="G19" s="13" t="s">
        <v>1399</v>
      </c>
      <c r="H19" s="15">
        <v>72.400000000000006</v>
      </c>
      <c r="I19" s="17" t="s">
        <v>728</v>
      </c>
      <c r="J19" s="19">
        <f>IF(H19&gt;0,(H19*VLOOKUP(Lookups!$K$11,Lookups!$M$10:$P$40,4,0)/VLOOKUP(I19,Lookups!$M$10:$P$40,4,0)),"")</f>
        <v>73.413600000000002</v>
      </c>
      <c r="K19" s="15"/>
      <c r="L19" s="17"/>
      <c r="M19" s="19" t="str">
        <f>IF(K19&gt;0,(K19*VLOOKUP(Lookups!$K$11,Lookups!$M$10:$P$40,4,0)/VLOOKUP(L19,Lookups!$M$10:$P$40,4,0)),"")</f>
        <v/>
      </c>
      <c r="N19" s="15"/>
      <c r="O19" s="17"/>
      <c r="P19" s="19" t="str">
        <f>IF(N19&gt;0,(N19*VLOOKUP(Lookups!$K$11,Lookups!$M$10:$P$40,4,0)/VLOOKUP(O19,Lookups!$M$10:$P$40,4,0)),"")</f>
        <v/>
      </c>
      <c r="Q19" s="96" t="s">
        <v>2348</v>
      </c>
      <c r="R19" s="38" t="s">
        <v>621</v>
      </c>
      <c r="S19" s="13" t="s">
        <v>1518</v>
      </c>
      <c r="T19" s="13" t="s">
        <v>1912</v>
      </c>
      <c r="U19" s="13" t="s">
        <v>2344</v>
      </c>
    </row>
    <row r="20" spans="1:21" s="40" customFormat="1" ht="60" hidden="1" customHeight="1" outlineLevel="1" x14ac:dyDescent="0.2">
      <c r="A20" s="46" t="s">
        <v>1736</v>
      </c>
      <c r="B20" s="46" t="s">
        <v>624</v>
      </c>
      <c r="C20" s="46" t="s">
        <v>1076</v>
      </c>
      <c r="D20" s="46" t="s">
        <v>1519</v>
      </c>
      <c r="E20" s="13" t="s">
        <v>631</v>
      </c>
      <c r="F20" s="13" t="s">
        <v>683</v>
      </c>
      <c r="G20" s="13" t="s">
        <v>1399</v>
      </c>
      <c r="H20" s="15">
        <v>101.15</v>
      </c>
      <c r="I20" s="17" t="s">
        <v>728</v>
      </c>
      <c r="J20" s="19">
        <f>IF(H20&gt;0,(H20*VLOOKUP(Lookups!$K$11,Lookups!$M$10:$P$40,4,0)/VLOOKUP(I20,Lookups!$M$10:$P$40,4,0)),"")</f>
        <v>102.56610000000001</v>
      </c>
      <c r="K20" s="15"/>
      <c r="L20" s="17"/>
      <c r="M20" s="19" t="str">
        <f>IF(K20&gt;0,(K20*VLOOKUP(Lookups!$K$11,Lookups!$M$10:$P$40,4,0)/VLOOKUP(L20,Lookups!$M$10:$P$40,4,0)),"")</f>
        <v/>
      </c>
      <c r="N20" s="15"/>
      <c r="O20" s="17"/>
      <c r="P20" s="19" t="str">
        <f>IF(N20&gt;0,(N20*VLOOKUP(Lookups!$K$11,Lookups!$M$10:$P$40,4,0)/VLOOKUP(O20,Lookups!$M$10:$P$40,4,0)),"")</f>
        <v/>
      </c>
      <c r="Q20" s="96" t="s">
        <v>2348</v>
      </c>
      <c r="R20" s="38" t="s">
        <v>621</v>
      </c>
      <c r="S20" s="13" t="s">
        <v>1780</v>
      </c>
      <c r="T20" s="13" t="s">
        <v>1912</v>
      </c>
      <c r="U20" s="13" t="s">
        <v>2344</v>
      </c>
    </row>
    <row r="21" spans="1:21" s="40" customFormat="1" ht="60" hidden="1" customHeight="1" outlineLevel="1" x14ac:dyDescent="0.2">
      <c r="A21" s="46" t="s">
        <v>1736</v>
      </c>
      <c r="B21" s="46" t="s">
        <v>624</v>
      </c>
      <c r="C21" s="46" t="s">
        <v>1077</v>
      </c>
      <c r="D21" s="46" t="s">
        <v>1781</v>
      </c>
      <c r="E21" s="13" t="s">
        <v>631</v>
      </c>
      <c r="F21" s="13" t="s">
        <v>683</v>
      </c>
      <c r="G21" s="13" t="s">
        <v>1399</v>
      </c>
      <c r="H21" s="15">
        <v>108.15</v>
      </c>
      <c r="I21" s="17" t="s">
        <v>728</v>
      </c>
      <c r="J21" s="19">
        <f>IF(H21&gt;0,(H21*VLOOKUP(Lookups!$K$11,Lookups!$M$10:$P$40,4,0)/VLOOKUP(I21,Lookups!$M$10:$P$40,4,0)),"")</f>
        <v>109.6641</v>
      </c>
      <c r="K21" s="15"/>
      <c r="L21" s="17"/>
      <c r="M21" s="19" t="str">
        <f>IF(K21&gt;0,(K21*VLOOKUP(Lookups!$K$11,Lookups!$M$10:$P$40,4,0)/VLOOKUP(L21,Lookups!$M$10:$P$40,4,0)),"")</f>
        <v/>
      </c>
      <c r="N21" s="15"/>
      <c r="O21" s="17"/>
      <c r="P21" s="19" t="str">
        <f>IF(N21&gt;0,(N21*VLOOKUP(Lookups!$K$11,Lookups!$M$10:$P$40,4,0)/VLOOKUP(O21,Lookups!$M$10:$P$40,4,0)),"")</f>
        <v/>
      </c>
      <c r="Q21" s="96" t="s">
        <v>2348</v>
      </c>
      <c r="R21" s="38" t="s">
        <v>621</v>
      </c>
      <c r="S21" s="13" t="s">
        <v>2353</v>
      </c>
      <c r="T21" s="13" t="s">
        <v>1912</v>
      </c>
      <c r="U21" s="13" t="s">
        <v>2344</v>
      </c>
    </row>
    <row r="22" spans="1:21" s="90" customFormat="1" ht="60" hidden="1" customHeight="1" outlineLevel="1" x14ac:dyDescent="0.2">
      <c r="A22" s="46" t="s">
        <v>1736</v>
      </c>
      <c r="B22" s="46" t="s">
        <v>624</v>
      </c>
      <c r="C22" s="46" t="s">
        <v>1078</v>
      </c>
      <c r="D22" s="54" t="s">
        <v>1440</v>
      </c>
      <c r="E22" s="37" t="s">
        <v>641</v>
      </c>
      <c r="F22" s="37" t="s">
        <v>683</v>
      </c>
      <c r="G22" s="37" t="s">
        <v>1399</v>
      </c>
      <c r="H22" s="89">
        <v>232</v>
      </c>
      <c r="I22" s="17" t="s">
        <v>727</v>
      </c>
      <c r="J22" s="19">
        <f>IF(H22&gt;0,(H22*VLOOKUP(Lookups!$K$11,Lookups!$M$10:$P$40,4,0)/VLOOKUP(I22,Lookups!$M$10:$P$40,4,0)),"")</f>
        <v>239.24721599999998</v>
      </c>
      <c r="K22" s="89"/>
      <c r="L22" s="17"/>
      <c r="M22" s="19" t="str">
        <f>IF(K22&gt;0,(K22*VLOOKUP(Lookups!$K$11,Lookups!$M$10:$P$40,4,0)/VLOOKUP(L22,Lookups!$M$10:$P$40,4,0)),"")</f>
        <v/>
      </c>
      <c r="N22" s="89"/>
      <c r="O22" s="17"/>
      <c r="P22" s="19" t="str">
        <f>IF(N22&gt;0,(N22*VLOOKUP(Lookups!$K$11,Lookups!$M$10:$P$40,4,0)/VLOOKUP(O22,Lookups!$M$10:$P$40,4,0)),"")</f>
        <v/>
      </c>
      <c r="Q22" s="96" t="s">
        <v>1924</v>
      </c>
      <c r="R22" s="38" t="s">
        <v>621</v>
      </c>
      <c r="S22" s="97" t="s">
        <v>1437</v>
      </c>
      <c r="T22" s="13" t="s">
        <v>1912</v>
      </c>
      <c r="U22" s="13" t="s">
        <v>2328</v>
      </c>
    </row>
    <row r="23" spans="1:21" s="40" customFormat="1" ht="60" hidden="1" customHeight="1" outlineLevel="1" x14ac:dyDescent="0.2">
      <c r="A23" s="46" t="s">
        <v>1736</v>
      </c>
      <c r="B23" s="46" t="s">
        <v>624</v>
      </c>
      <c r="C23" s="46" t="s">
        <v>1079</v>
      </c>
      <c r="D23" s="54" t="s">
        <v>1441</v>
      </c>
      <c r="E23" s="13" t="s">
        <v>641</v>
      </c>
      <c r="F23" s="13" t="s">
        <v>683</v>
      </c>
      <c r="G23" s="13" t="s">
        <v>1399</v>
      </c>
      <c r="H23" s="15">
        <v>167</v>
      </c>
      <c r="I23" s="17" t="s">
        <v>727</v>
      </c>
      <c r="J23" s="19">
        <f>IF(H23&gt;0,(H23*VLOOKUP(Lookups!$K$11,Lookups!$M$10:$P$40,4,0)/VLOOKUP(I23,Lookups!$M$10:$P$40,4,0)),"")</f>
        <v>172.21674599999997</v>
      </c>
      <c r="K23" s="15"/>
      <c r="L23" s="17"/>
      <c r="M23" s="19" t="str">
        <f>IF(K23&gt;0,(K23*VLOOKUP(Lookups!$K$11,Lookups!$M$10:$P$40,4,0)/VLOOKUP(L23,Lookups!$M$10:$P$40,4,0)),"")</f>
        <v/>
      </c>
      <c r="N23" s="15"/>
      <c r="O23" s="17"/>
      <c r="P23" s="19" t="str">
        <f>IF(N23&gt;0,(N23*VLOOKUP(Lookups!$K$11,Lookups!$M$10:$P$40,4,0)/VLOOKUP(O23,Lookups!$M$10:$P$40,4,0)),"")</f>
        <v/>
      </c>
      <c r="Q23" s="96" t="s">
        <v>1924</v>
      </c>
      <c r="R23" s="38" t="s">
        <v>621</v>
      </c>
      <c r="S23" s="47" t="s">
        <v>2329</v>
      </c>
      <c r="T23" s="13" t="s">
        <v>1912</v>
      </c>
      <c r="U23" s="13" t="s">
        <v>2328</v>
      </c>
    </row>
    <row r="24" spans="1:21" s="90" customFormat="1" ht="60" hidden="1" customHeight="1" outlineLevel="1" x14ac:dyDescent="0.2">
      <c r="A24" s="46" t="s">
        <v>1736</v>
      </c>
      <c r="B24" s="46" t="s">
        <v>624</v>
      </c>
      <c r="C24" s="46" t="s">
        <v>1080</v>
      </c>
      <c r="D24" s="46" t="s">
        <v>902</v>
      </c>
      <c r="E24" s="37" t="s">
        <v>1357</v>
      </c>
      <c r="F24" s="37" t="s">
        <v>683</v>
      </c>
      <c r="G24" s="37" t="s">
        <v>1399</v>
      </c>
      <c r="H24" s="89">
        <v>8160</v>
      </c>
      <c r="I24" s="17" t="s">
        <v>664</v>
      </c>
      <c r="J24" s="19">
        <f>IF(H24&gt;0,(H24*VLOOKUP(Lookups!$K$11,Lookups!$M$10:$P$40,4,0)/VLOOKUP(I24,Lookups!$M$10:$P$40,4,0)),"")</f>
        <v>8888.5576368024758</v>
      </c>
      <c r="K24" s="89"/>
      <c r="L24" s="17"/>
      <c r="M24" s="19" t="str">
        <f>IF(K24&gt;0,(K24*VLOOKUP(Lookups!$K$11,Lookups!$M$10:$P$40,4,0)/VLOOKUP(L24,Lookups!$M$10:$P$40,4,0)),"")</f>
        <v/>
      </c>
      <c r="N24" s="89"/>
      <c r="O24" s="17"/>
      <c r="P24" s="19" t="str">
        <f>IF(N24&gt;0,(N24*VLOOKUP(Lookups!$K$11,Lookups!$M$10:$P$40,4,0)/VLOOKUP(O24,Lookups!$M$10:$P$40,4,0)),"")</f>
        <v/>
      </c>
      <c r="Q24" s="78" t="s">
        <v>834</v>
      </c>
      <c r="R24" s="38" t="s">
        <v>621</v>
      </c>
      <c r="S24" s="37" t="s">
        <v>1073</v>
      </c>
      <c r="T24" s="37"/>
      <c r="U24" s="37"/>
    </row>
    <row r="25" spans="1:21" s="40" customFormat="1" ht="60" hidden="1" customHeight="1" outlineLevel="1" x14ac:dyDescent="0.2">
      <c r="A25" s="46" t="s">
        <v>1736</v>
      </c>
      <c r="B25" s="46" t="s">
        <v>624</v>
      </c>
      <c r="C25" s="46" t="s">
        <v>1081</v>
      </c>
      <c r="D25" s="46" t="s">
        <v>1448</v>
      </c>
      <c r="E25" s="13" t="s">
        <v>631</v>
      </c>
      <c r="F25" s="13" t="s">
        <v>683</v>
      </c>
      <c r="G25" s="13" t="s">
        <v>1399</v>
      </c>
      <c r="H25" s="15">
        <v>85.15</v>
      </c>
      <c r="I25" s="17" t="s">
        <v>665</v>
      </c>
      <c r="J25" s="19">
        <f>IF(H25&gt;0,(H25*VLOOKUP(Lookups!$K$11,Lookups!$M$10:$P$40,4,0)/VLOOKUP(I25,Lookups!$M$10:$P$40,4,0)),"")</f>
        <v>91.121460510505429</v>
      </c>
      <c r="K25" s="15"/>
      <c r="L25" s="17"/>
      <c r="M25" s="19" t="str">
        <f>IF(K25&gt;0,(K25*VLOOKUP(Lookups!$K$11,Lookups!$M$10:$P$40,4,0)/VLOOKUP(L25,Lookups!$M$10:$P$40,4,0)),"")</f>
        <v/>
      </c>
      <c r="N25" s="15"/>
      <c r="O25" s="17"/>
      <c r="P25" s="19" t="str">
        <f>IF(N25&gt;0,(N25*VLOOKUP(Lookups!$K$11,Lookups!$M$10:$P$40,4,0)/VLOOKUP(O25,Lookups!$M$10:$P$40,4,0)),"")</f>
        <v/>
      </c>
      <c r="Q25" s="37" t="s">
        <v>1402</v>
      </c>
      <c r="R25" s="38" t="s">
        <v>621</v>
      </c>
      <c r="S25" s="13"/>
      <c r="T25" s="13"/>
      <c r="U25" s="13"/>
    </row>
    <row r="26" spans="1:21" s="40" customFormat="1" ht="60" hidden="1" customHeight="1" outlineLevel="1" x14ac:dyDescent="0.2">
      <c r="A26" s="46" t="s">
        <v>1736</v>
      </c>
      <c r="B26" s="46" t="s">
        <v>624</v>
      </c>
      <c r="C26" s="46" t="s">
        <v>1082</v>
      </c>
      <c r="D26" s="46" t="s">
        <v>1449</v>
      </c>
      <c r="E26" s="13" t="s">
        <v>631</v>
      </c>
      <c r="F26" s="13" t="s">
        <v>683</v>
      </c>
      <c r="G26" s="13" t="s">
        <v>1399</v>
      </c>
      <c r="H26" s="15">
        <v>71.099999999999994</v>
      </c>
      <c r="I26" s="17" t="s">
        <v>665</v>
      </c>
      <c r="J26" s="19">
        <f>IF(H26&gt;0,(H26*VLOOKUP(Lookups!$K$11,Lookups!$M$10:$P$40,4,0)/VLOOKUP(I26,Lookups!$M$10:$P$40,4,0)),"")</f>
        <v>76.08615199409202</v>
      </c>
      <c r="K26" s="15"/>
      <c r="L26" s="17"/>
      <c r="M26" s="19" t="str">
        <f>IF(K26&gt;0,(K26*VLOOKUP(Lookups!$K$11,Lookups!$M$10:$P$40,4,0)/VLOOKUP(L26,Lookups!$M$10:$P$40,4,0)),"")</f>
        <v/>
      </c>
      <c r="N26" s="15"/>
      <c r="O26" s="17"/>
      <c r="P26" s="19" t="str">
        <f>IF(N26&gt;0,(N26*VLOOKUP(Lookups!$K$11,Lookups!$M$10:$P$40,4,0)/VLOOKUP(O26,Lookups!$M$10:$P$40,4,0)),"")</f>
        <v/>
      </c>
      <c r="Q26" s="37" t="s">
        <v>1402</v>
      </c>
      <c r="R26" s="38" t="s">
        <v>621</v>
      </c>
      <c r="S26" s="13"/>
      <c r="T26" s="13"/>
      <c r="U26" s="13"/>
    </row>
    <row r="27" spans="1:21" s="40" customFormat="1" ht="60" hidden="1" customHeight="1" outlineLevel="1" x14ac:dyDescent="0.2">
      <c r="A27" s="46" t="s">
        <v>1736</v>
      </c>
      <c r="B27" s="46" t="s">
        <v>624</v>
      </c>
      <c r="C27" s="46" t="s">
        <v>1457</v>
      </c>
      <c r="D27" s="46" t="s">
        <v>1450</v>
      </c>
      <c r="E27" s="13" t="s">
        <v>640</v>
      </c>
      <c r="F27" s="13" t="s">
        <v>683</v>
      </c>
      <c r="G27" s="13" t="s">
        <v>1399</v>
      </c>
      <c r="H27" s="15">
        <v>109</v>
      </c>
      <c r="I27" s="17" t="s">
        <v>663</v>
      </c>
      <c r="J27" s="19">
        <f>IF(H27&gt;0,(H27*VLOOKUP(Lookups!$K$11,Lookups!$M$10:$P$40,4,0)/VLOOKUP(I27,Lookups!$M$10:$P$40,4,0)),"")</f>
        <v>122.01845924370336</v>
      </c>
      <c r="K27" s="15"/>
      <c r="L27" s="17"/>
      <c r="M27" s="19" t="str">
        <f>IF(K27&gt;0,(K27*VLOOKUP(Lookups!$K$11,Lookups!$M$10:$P$40,4,0)/VLOOKUP(L27,Lookups!$M$10:$P$40,4,0)),"")</f>
        <v/>
      </c>
      <c r="N27" s="15"/>
      <c r="O27" s="17"/>
      <c r="P27" s="19" t="str">
        <f>IF(N27&gt;0,(N27*VLOOKUP(Lookups!$K$11,Lookups!$M$10:$P$40,4,0)/VLOOKUP(O27,Lookups!$M$10:$P$40,4,0)),"")</f>
        <v/>
      </c>
      <c r="Q27" s="37" t="s">
        <v>836</v>
      </c>
      <c r="R27" s="38" t="s">
        <v>619</v>
      </c>
      <c r="S27" s="13" t="s">
        <v>1692</v>
      </c>
      <c r="T27" s="13"/>
      <c r="U27" s="13"/>
    </row>
    <row r="28" spans="1:21" s="90" customFormat="1" ht="60" customHeight="1" collapsed="1" x14ac:dyDescent="0.2">
      <c r="A28" s="44" t="s">
        <v>1736</v>
      </c>
      <c r="B28" s="44" t="s">
        <v>624</v>
      </c>
      <c r="C28" s="44" t="s">
        <v>1083</v>
      </c>
      <c r="D28" s="52" t="s">
        <v>2031</v>
      </c>
      <c r="E28" s="37" t="s">
        <v>1396</v>
      </c>
      <c r="F28" s="37" t="s">
        <v>712</v>
      </c>
      <c r="G28" s="37" t="s">
        <v>683</v>
      </c>
      <c r="H28" s="89">
        <v>7570</v>
      </c>
      <c r="I28" s="17" t="s">
        <v>726</v>
      </c>
      <c r="J28" s="19">
        <f>IF(H28&gt;0,(H28*VLOOKUP(Lookups!$K$11,Lookups!$M$10:$P$40,4,0)/VLOOKUP(I28,Lookups!$M$10:$P$40,4,0)),"")</f>
        <v>7972.203053341801</v>
      </c>
      <c r="K28" s="89">
        <v>8701</v>
      </c>
      <c r="L28" s="17" t="s">
        <v>726</v>
      </c>
      <c r="M28" s="19">
        <f>IF(K28&gt;0,(K28*VLOOKUP(Lookups!$K$11,Lookups!$M$10:$P$40,4,0)/VLOOKUP(L28,Lookups!$M$10:$P$40,4,0)),"")</f>
        <v>9163.2944210207388</v>
      </c>
      <c r="N28" s="89"/>
      <c r="O28" s="17"/>
      <c r="P28" s="19" t="str">
        <f>IF(N28&gt;0,(N28*VLOOKUP(Lookups!$K$11,Lookups!$M$10:$P$40,4,0)/VLOOKUP(O28,Lookups!$M$10:$P$40,4,0)),"")</f>
        <v/>
      </c>
      <c r="Q28" s="128" t="s">
        <v>2475</v>
      </c>
      <c r="R28" s="38" t="s">
        <v>621</v>
      </c>
      <c r="S28" s="37" t="s">
        <v>2477</v>
      </c>
      <c r="T28" s="13" t="s">
        <v>1912</v>
      </c>
      <c r="U28" s="13" t="s">
        <v>167</v>
      </c>
    </row>
    <row r="29" spans="1:21" s="90" customFormat="1" ht="60" hidden="1" customHeight="1" outlineLevel="2" x14ac:dyDescent="0.2">
      <c r="A29" s="37" t="s">
        <v>1736</v>
      </c>
      <c r="B29" s="37" t="s">
        <v>624</v>
      </c>
      <c r="C29" s="37" t="s">
        <v>1138</v>
      </c>
      <c r="D29" s="45" t="s">
        <v>1443</v>
      </c>
      <c r="E29" s="37" t="s">
        <v>1396</v>
      </c>
      <c r="F29" s="37" t="s">
        <v>683</v>
      </c>
      <c r="G29" s="37" t="s">
        <v>666</v>
      </c>
      <c r="H29" s="89">
        <v>7004</v>
      </c>
      <c r="I29" s="17" t="s">
        <v>726</v>
      </c>
      <c r="J29" s="19">
        <f>IF(H29&gt;0,(H29*VLOOKUP(Lookups!$K$11,Lookups!$M$10:$P$40,4,0)/VLOOKUP(I29,Lookups!$M$10:$P$40,4,0)),"")</f>
        <v>7376.1308039109599</v>
      </c>
      <c r="K29" s="89"/>
      <c r="L29" s="17"/>
      <c r="M29" s="19" t="str">
        <f>IF(K29&gt;0,(K29*VLOOKUP(Lookups!$K$11,Lookups!$M$10:$P$40,4,0)/VLOOKUP(L29,Lookups!$M$10:$P$40,4,0)),"")</f>
        <v/>
      </c>
      <c r="N29" s="89"/>
      <c r="O29" s="17"/>
      <c r="P29" s="19" t="str">
        <f>IF(N29&gt;0,(N29*VLOOKUP(Lookups!$K$11,Lookups!$M$10:$P$40,4,0)/VLOOKUP(O29,Lookups!$M$10:$P$40,4,0)),"")</f>
        <v/>
      </c>
      <c r="Q29" s="128" t="s">
        <v>2475</v>
      </c>
      <c r="R29" s="38" t="s">
        <v>621</v>
      </c>
      <c r="S29" s="37" t="s">
        <v>1133</v>
      </c>
      <c r="T29" s="13" t="s">
        <v>1912</v>
      </c>
      <c r="U29" s="37" t="s">
        <v>168</v>
      </c>
    </row>
    <row r="30" spans="1:21" s="90" customFormat="1" ht="60" hidden="1" customHeight="1" outlineLevel="2" x14ac:dyDescent="0.2">
      <c r="A30" s="37" t="s">
        <v>1736</v>
      </c>
      <c r="B30" s="37" t="s">
        <v>624</v>
      </c>
      <c r="C30" s="37" t="s">
        <v>1139</v>
      </c>
      <c r="D30" s="45" t="s">
        <v>1444</v>
      </c>
      <c r="E30" s="37" t="s">
        <v>1396</v>
      </c>
      <c r="F30" s="37" t="s">
        <v>629</v>
      </c>
      <c r="G30" s="37"/>
      <c r="H30" s="89">
        <v>566</v>
      </c>
      <c r="I30" s="17" t="s">
        <v>726</v>
      </c>
      <c r="J30" s="19">
        <f>IF(H30&gt;0,(H30*VLOOKUP(Lookups!$K$11,Lookups!$M$10:$P$40,4,0)/VLOOKUP(I30,Lookups!$M$10:$P$40,4,0)),"")</f>
        <v>596.07224943083997</v>
      </c>
      <c r="K30" s="89"/>
      <c r="L30" s="17"/>
      <c r="M30" s="19" t="str">
        <f>IF(K30&gt;0,(K30*VLOOKUP(Lookups!$K$11,Lookups!$M$10:$P$40,4,0)/VLOOKUP(L30,Lookups!$M$10:$P$40,4,0)),"")</f>
        <v/>
      </c>
      <c r="N30" s="89"/>
      <c r="O30" s="17"/>
      <c r="P30" s="19" t="str">
        <f>IF(N30&gt;0,(N30*VLOOKUP(Lookups!$K$11,Lookups!$M$10:$P$40,4,0)/VLOOKUP(O30,Lookups!$M$10:$P$40,4,0)),"")</f>
        <v/>
      </c>
      <c r="Q30" s="128" t="s">
        <v>2475</v>
      </c>
      <c r="R30" s="38" t="s">
        <v>621</v>
      </c>
      <c r="S30" s="37" t="s">
        <v>1133</v>
      </c>
      <c r="T30" s="13" t="s">
        <v>1912</v>
      </c>
      <c r="U30" s="37" t="s">
        <v>168</v>
      </c>
    </row>
    <row r="31" spans="1:21" s="40" customFormat="1" ht="60" hidden="1" customHeight="1" outlineLevel="1" x14ac:dyDescent="0.2">
      <c r="A31" s="46" t="s">
        <v>1736</v>
      </c>
      <c r="B31" s="46" t="s">
        <v>624</v>
      </c>
      <c r="C31" s="46" t="s">
        <v>1084</v>
      </c>
      <c r="D31" s="46" t="s">
        <v>1782</v>
      </c>
      <c r="E31" s="13" t="s">
        <v>631</v>
      </c>
      <c r="F31" s="13" t="s">
        <v>683</v>
      </c>
      <c r="G31" s="13" t="s">
        <v>1399</v>
      </c>
      <c r="H31" s="15">
        <v>57.35</v>
      </c>
      <c r="I31" s="17" t="s">
        <v>728</v>
      </c>
      <c r="J31" s="19">
        <f>IF(H31&gt;0,(H31*VLOOKUP(Lookups!$K$11,Lookups!$M$10:$P$40,4,0)/VLOOKUP(I31,Lookups!$M$10:$P$40,4,0)),"")</f>
        <v>58.152900000000002</v>
      </c>
      <c r="K31" s="15"/>
      <c r="L31" s="17"/>
      <c r="M31" s="19" t="str">
        <f>IF(K31&gt;0,(K31*VLOOKUP(Lookups!$K$11,Lookups!$M$10:$P$40,4,0)/VLOOKUP(L31,Lookups!$M$10:$P$40,4,0)),"")</f>
        <v/>
      </c>
      <c r="N31" s="15"/>
      <c r="O31" s="17"/>
      <c r="P31" s="19" t="str">
        <f>IF(N31&gt;0,(N31*VLOOKUP(Lookups!$K$11,Lookups!$M$10:$P$40,4,0)/VLOOKUP(O31,Lookups!$M$10:$P$40,4,0)),"")</f>
        <v/>
      </c>
      <c r="Q31" s="96" t="s">
        <v>2354</v>
      </c>
      <c r="R31" s="38" t="s">
        <v>621</v>
      </c>
      <c r="S31" s="37" t="s">
        <v>2244</v>
      </c>
      <c r="T31" s="13" t="s">
        <v>1912</v>
      </c>
      <c r="U31" s="13" t="s">
        <v>2344</v>
      </c>
    </row>
    <row r="32" spans="1:21" s="40" customFormat="1" ht="60" hidden="1" customHeight="1" outlineLevel="1" x14ac:dyDescent="0.2">
      <c r="A32" s="46" t="s">
        <v>1736</v>
      </c>
      <c r="B32" s="46" t="s">
        <v>624</v>
      </c>
      <c r="C32" s="46" t="s">
        <v>1141</v>
      </c>
      <c r="D32" s="46" t="s">
        <v>1459</v>
      </c>
      <c r="E32" s="13" t="s">
        <v>631</v>
      </c>
      <c r="F32" s="13" t="s">
        <v>683</v>
      </c>
      <c r="G32" s="13" t="s">
        <v>1399</v>
      </c>
      <c r="H32" s="15">
        <v>72.400000000000006</v>
      </c>
      <c r="I32" s="17" t="s">
        <v>728</v>
      </c>
      <c r="J32" s="19">
        <f>IF(H32&gt;0,(H32*VLOOKUP(Lookups!$K$11,Lookups!$M$10:$P$40,4,0)/VLOOKUP(I32,Lookups!$M$10:$P$40,4,0)),"")</f>
        <v>73.413600000000002</v>
      </c>
      <c r="K32" s="15"/>
      <c r="L32" s="17"/>
      <c r="M32" s="19" t="str">
        <f>IF(K32&gt;0,(K32*VLOOKUP(Lookups!$K$11,Lookups!$M$10:$P$40,4,0)/VLOOKUP(L32,Lookups!$M$10:$P$40,4,0)),"")</f>
        <v/>
      </c>
      <c r="N32" s="15"/>
      <c r="O32" s="17"/>
      <c r="P32" s="19" t="str">
        <f>IF(N32&gt;0,(N32*VLOOKUP(Lookups!$K$11,Lookups!$M$10:$P$40,4,0)/VLOOKUP(O32,Lookups!$M$10:$P$40,4,0)),"")</f>
        <v/>
      </c>
      <c r="Q32" s="96" t="s">
        <v>2354</v>
      </c>
      <c r="R32" s="38" t="s">
        <v>621</v>
      </c>
      <c r="S32" s="37" t="s">
        <v>2244</v>
      </c>
      <c r="T32" s="13" t="s">
        <v>1912</v>
      </c>
      <c r="U32" s="13" t="s">
        <v>2344</v>
      </c>
    </row>
    <row r="33" spans="1:21" s="40" customFormat="1" ht="60" hidden="1" customHeight="1" outlineLevel="1" x14ac:dyDescent="0.2">
      <c r="A33" s="46" t="s">
        <v>1736</v>
      </c>
      <c r="B33" s="46" t="s">
        <v>624</v>
      </c>
      <c r="C33" s="46" t="s">
        <v>1142</v>
      </c>
      <c r="D33" s="46" t="s">
        <v>1460</v>
      </c>
      <c r="E33" s="13" t="s">
        <v>631</v>
      </c>
      <c r="F33" s="13" t="s">
        <v>683</v>
      </c>
      <c r="G33" s="13" t="s">
        <v>1399</v>
      </c>
      <c r="H33" s="15">
        <v>57.35</v>
      </c>
      <c r="I33" s="17" t="s">
        <v>728</v>
      </c>
      <c r="J33" s="19">
        <f>IF(H33&gt;0,(H33*VLOOKUP(Lookups!$K$11,Lookups!$M$10:$P$40,4,0)/VLOOKUP(I33,Lookups!$M$10:$P$40,4,0)),"")</f>
        <v>58.152900000000002</v>
      </c>
      <c r="K33" s="15"/>
      <c r="L33" s="17"/>
      <c r="M33" s="19" t="str">
        <f>IF(K33&gt;0,(K33*VLOOKUP(Lookups!$K$11,Lookups!$M$10:$P$40,4,0)/VLOOKUP(L33,Lookups!$M$10:$P$40,4,0)),"")</f>
        <v/>
      </c>
      <c r="N33" s="15"/>
      <c r="O33" s="17"/>
      <c r="P33" s="19" t="str">
        <f>IF(N33&gt;0,(N33*VLOOKUP(Lookups!$K$11,Lookups!$M$10:$P$40,4,0)/VLOOKUP(O33,Lookups!$M$10:$P$40,4,0)),"")</f>
        <v/>
      </c>
      <c r="Q33" s="96" t="s">
        <v>2354</v>
      </c>
      <c r="R33" s="38" t="s">
        <v>621</v>
      </c>
      <c r="S33" s="37" t="s">
        <v>2244</v>
      </c>
      <c r="T33" s="13" t="s">
        <v>1912</v>
      </c>
      <c r="U33" s="13" t="s">
        <v>2344</v>
      </c>
    </row>
    <row r="34" spans="1:21" s="40" customFormat="1" ht="60" hidden="1" customHeight="1" outlineLevel="1" x14ac:dyDescent="0.2">
      <c r="A34" s="46" t="s">
        <v>1736</v>
      </c>
      <c r="B34" s="46" t="s">
        <v>624</v>
      </c>
      <c r="C34" s="46" t="s">
        <v>1143</v>
      </c>
      <c r="D34" s="46" t="s">
        <v>2355</v>
      </c>
      <c r="E34" s="13" t="s">
        <v>631</v>
      </c>
      <c r="F34" s="13" t="s">
        <v>683</v>
      </c>
      <c r="G34" s="13" t="s">
        <v>1399</v>
      </c>
      <c r="H34" s="15">
        <v>86.65</v>
      </c>
      <c r="I34" s="17" t="s">
        <v>728</v>
      </c>
      <c r="J34" s="19">
        <f>IF(H34&gt;0,(H34*VLOOKUP(Lookups!$K$11,Lookups!$M$10:$P$40,4,0)/VLOOKUP(I34,Lookups!$M$10:$P$40,4,0)),"")</f>
        <v>87.863100000000003</v>
      </c>
      <c r="K34" s="15"/>
      <c r="L34" s="17"/>
      <c r="M34" s="19" t="str">
        <f>IF(K34&gt;0,(K34*VLOOKUP(Lookups!$K$11,Lookups!$M$10:$P$40,4,0)/VLOOKUP(L34,Lookups!$M$10:$P$40,4,0)),"")</f>
        <v/>
      </c>
      <c r="N34" s="15"/>
      <c r="O34" s="17"/>
      <c r="P34" s="19" t="str">
        <f>IF(N34&gt;0,(N34*VLOOKUP(Lookups!$K$11,Lookups!$M$10:$P$40,4,0)/VLOOKUP(O34,Lookups!$M$10:$P$40,4,0)),"")</f>
        <v/>
      </c>
      <c r="Q34" s="96" t="s">
        <v>2354</v>
      </c>
      <c r="R34" s="38" t="s">
        <v>621</v>
      </c>
      <c r="S34" s="37" t="s">
        <v>2214</v>
      </c>
      <c r="T34" s="13" t="s">
        <v>1911</v>
      </c>
      <c r="U34" s="13" t="s">
        <v>412</v>
      </c>
    </row>
    <row r="35" spans="1:21" s="40" customFormat="1" ht="60" hidden="1" customHeight="1" outlineLevel="1" x14ac:dyDescent="0.2">
      <c r="A35" s="46" t="s">
        <v>1736</v>
      </c>
      <c r="B35" s="46" t="s">
        <v>624</v>
      </c>
      <c r="C35" s="46" t="s">
        <v>1144</v>
      </c>
      <c r="D35" s="46" t="s">
        <v>1783</v>
      </c>
      <c r="E35" s="13" t="s">
        <v>631</v>
      </c>
      <c r="F35" s="13" t="s">
        <v>683</v>
      </c>
      <c r="G35" s="13" t="s">
        <v>1399</v>
      </c>
      <c r="H35" s="15">
        <v>57.35</v>
      </c>
      <c r="I35" s="17" t="s">
        <v>728</v>
      </c>
      <c r="J35" s="19">
        <f>IF(H35&gt;0,(H35*VLOOKUP(Lookups!$K$11,Lookups!$M$10:$P$40,4,0)/VLOOKUP(I35,Lookups!$M$10:$P$40,4,0)),"")</f>
        <v>58.152900000000002</v>
      </c>
      <c r="K35" s="15"/>
      <c r="L35" s="17"/>
      <c r="M35" s="19" t="str">
        <f>IF(K35&gt;0,(K35*VLOOKUP(Lookups!$K$11,Lookups!$M$10:$P$40,4,0)/VLOOKUP(L35,Lookups!$M$10:$P$40,4,0)),"")</f>
        <v/>
      </c>
      <c r="N35" s="15"/>
      <c r="O35" s="17"/>
      <c r="P35" s="19" t="str">
        <f>IF(N35&gt;0,(N35*VLOOKUP(Lookups!$K$11,Lookups!$M$10:$P$40,4,0)/VLOOKUP(O35,Lookups!$M$10:$P$40,4,0)),"")</f>
        <v/>
      </c>
      <c r="Q35" s="96" t="s">
        <v>2354</v>
      </c>
      <c r="R35" s="38" t="s">
        <v>621</v>
      </c>
      <c r="S35" s="37" t="s">
        <v>2244</v>
      </c>
      <c r="T35" s="13" t="s">
        <v>1912</v>
      </c>
      <c r="U35" s="13" t="s">
        <v>2265</v>
      </c>
    </row>
    <row r="36" spans="1:21" s="40" customFormat="1" ht="60" hidden="1" customHeight="1" outlineLevel="1" x14ac:dyDescent="0.2">
      <c r="A36" s="46" t="s">
        <v>1736</v>
      </c>
      <c r="B36" s="46" t="s">
        <v>624</v>
      </c>
      <c r="C36" s="46" t="s">
        <v>1145</v>
      </c>
      <c r="D36" s="46" t="s">
        <v>1461</v>
      </c>
      <c r="E36" s="13" t="s">
        <v>631</v>
      </c>
      <c r="F36" s="13" t="s">
        <v>683</v>
      </c>
      <c r="G36" s="13" t="s">
        <v>1399</v>
      </c>
      <c r="H36" s="15">
        <v>72.400000000000006</v>
      </c>
      <c r="I36" s="17" t="s">
        <v>728</v>
      </c>
      <c r="J36" s="19">
        <f>IF(H36&gt;0,(H36*VLOOKUP(Lookups!$K$11,Lookups!$M$10:$P$40,4,0)/VLOOKUP(I36,Lookups!$M$10:$P$40,4,0)),"")</f>
        <v>73.413600000000002</v>
      </c>
      <c r="K36" s="15"/>
      <c r="L36" s="17"/>
      <c r="M36" s="19" t="str">
        <f>IF(K36&gt;0,(K36*VLOOKUP(Lookups!$K$11,Lookups!$M$10:$P$40,4,0)/VLOOKUP(L36,Lookups!$M$10:$P$40,4,0)),"")</f>
        <v/>
      </c>
      <c r="N36" s="15"/>
      <c r="O36" s="17"/>
      <c r="P36" s="19" t="str">
        <f>IF(N36&gt;0,(N36*VLOOKUP(Lookups!$K$11,Lookups!$M$10:$P$40,4,0)/VLOOKUP(O36,Lookups!$M$10:$P$40,4,0)),"")</f>
        <v/>
      </c>
      <c r="Q36" s="96" t="s">
        <v>2354</v>
      </c>
      <c r="R36" s="38" t="s">
        <v>621</v>
      </c>
      <c r="S36" s="37" t="s">
        <v>2244</v>
      </c>
      <c r="T36" s="13" t="s">
        <v>1912</v>
      </c>
      <c r="U36" s="13" t="s">
        <v>2265</v>
      </c>
    </row>
    <row r="37" spans="1:21" s="40" customFormat="1" ht="60" hidden="1" customHeight="1" outlineLevel="1" x14ac:dyDescent="0.2">
      <c r="A37" s="46" t="s">
        <v>1736</v>
      </c>
      <c r="B37" s="46" t="s">
        <v>624</v>
      </c>
      <c r="C37" s="46" t="s">
        <v>1146</v>
      </c>
      <c r="D37" s="46" t="s">
        <v>2245</v>
      </c>
      <c r="E37" s="13" t="s">
        <v>631</v>
      </c>
      <c r="F37" s="13" t="s">
        <v>683</v>
      </c>
      <c r="G37" s="13" t="s">
        <v>1399</v>
      </c>
      <c r="H37" s="15">
        <v>113.7</v>
      </c>
      <c r="I37" s="17" t="s">
        <v>728</v>
      </c>
      <c r="J37" s="19">
        <f>IF(H37&gt;0,(H37*VLOOKUP(Lookups!$K$11,Lookups!$M$10:$P$40,4,0)/VLOOKUP(I37,Lookups!$M$10:$P$40,4,0)),"")</f>
        <v>115.29179999999999</v>
      </c>
      <c r="K37" s="15"/>
      <c r="L37" s="17"/>
      <c r="M37" s="19" t="str">
        <f>IF(K37&gt;0,(K37*VLOOKUP(Lookups!$K$11,Lookups!$M$10:$P$40,4,0)/VLOOKUP(L37,Lookups!$M$10:$P$40,4,0)),"")</f>
        <v/>
      </c>
      <c r="N37" s="15"/>
      <c r="O37" s="17"/>
      <c r="P37" s="19" t="str">
        <f>IF(N37&gt;0,(N37*VLOOKUP(Lookups!$K$11,Lookups!$M$10:$P$40,4,0)/VLOOKUP(O37,Lookups!$M$10:$P$40,4,0)),"")</f>
        <v/>
      </c>
      <c r="Q37" s="96" t="s">
        <v>2354</v>
      </c>
      <c r="R37" s="38" t="s">
        <v>621</v>
      </c>
      <c r="S37" s="37" t="s">
        <v>2246</v>
      </c>
      <c r="T37" s="13" t="s">
        <v>1911</v>
      </c>
      <c r="U37" s="13" t="s">
        <v>412</v>
      </c>
    </row>
    <row r="38" spans="1:21" s="40" customFormat="1" ht="60" hidden="1" customHeight="1" outlineLevel="1" x14ac:dyDescent="0.2">
      <c r="A38" s="46" t="s">
        <v>1736</v>
      </c>
      <c r="B38" s="46" t="s">
        <v>624</v>
      </c>
      <c r="C38" s="46" t="s">
        <v>2298</v>
      </c>
      <c r="D38" s="46" t="s">
        <v>1462</v>
      </c>
      <c r="E38" s="13" t="s">
        <v>631</v>
      </c>
      <c r="F38" s="13" t="s">
        <v>683</v>
      </c>
      <c r="G38" s="13" t="s">
        <v>1399</v>
      </c>
      <c r="H38" s="15">
        <v>113.7</v>
      </c>
      <c r="I38" s="17" t="s">
        <v>728</v>
      </c>
      <c r="J38" s="19">
        <f>IF(H38&gt;0,(H38*VLOOKUP(Lookups!$K$11,Lookups!$M$10:$P$40,4,0)/VLOOKUP(I38,Lookups!$M$10:$P$40,4,0)),"")</f>
        <v>115.29179999999999</v>
      </c>
      <c r="K38" s="15"/>
      <c r="L38" s="17"/>
      <c r="M38" s="19" t="str">
        <f>IF(K38&gt;0,(K38*VLOOKUP(Lookups!$K$11,Lookups!$M$10:$P$40,4,0)/VLOOKUP(L38,Lookups!$M$10:$P$40,4,0)),"")</f>
        <v/>
      </c>
      <c r="N38" s="15"/>
      <c r="O38" s="17"/>
      <c r="P38" s="19" t="str">
        <f>IF(N38&gt;0,(N38*VLOOKUP(Lookups!$K$11,Lookups!$M$10:$P$40,4,0)/VLOOKUP(O38,Lookups!$M$10:$P$40,4,0)),"")</f>
        <v/>
      </c>
      <c r="Q38" s="96" t="s">
        <v>2354</v>
      </c>
      <c r="R38" s="38" t="s">
        <v>621</v>
      </c>
      <c r="S38" s="37" t="s">
        <v>2244</v>
      </c>
      <c r="T38" s="13" t="s">
        <v>1912</v>
      </c>
      <c r="U38" s="13" t="s">
        <v>2265</v>
      </c>
    </row>
    <row r="39" spans="1:21" s="40" customFormat="1" ht="60" hidden="1" customHeight="1" outlineLevel="1" x14ac:dyDescent="0.2">
      <c r="A39" s="46" t="s">
        <v>1736</v>
      </c>
      <c r="B39" s="46" t="s">
        <v>624</v>
      </c>
      <c r="C39" s="46" t="s">
        <v>2299</v>
      </c>
      <c r="D39" s="54" t="s">
        <v>1442</v>
      </c>
      <c r="E39" s="13" t="s">
        <v>641</v>
      </c>
      <c r="F39" s="13" t="s">
        <v>683</v>
      </c>
      <c r="G39" s="13" t="s">
        <v>1399</v>
      </c>
      <c r="H39" s="15">
        <v>178</v>
      </c>
      <c r="I39" s="17" t="s">
        <v>727</v>
      </c>
      <c r="J39" s="19">
        <f>IF(H39&gt;0,(H39*VLOOKUP(Lookups!$K$11,Lookups!$M$10:$P$40,4,0)/VLOOKUP(I39,Lookups!$M$10:$P$40,4,0)),"")</f>
        <v>183.56036399999999</v>
      </c>
      <c r="K39" s="15"/>
      <c r="L39" s="17"/>
      <c r="M39" s="19" t="str">
        <f>IF(K39&gt;0,(K39*VLOOKUP(Lookups!$K$11,Lookups!$M$10:$P$40,4,0)/VLOOKUP(L39,Lookups!$M$10:$P$40,4,0)),"")</f>
        <v/>
      </c>
      <c r="N39" s="15"/>
      <c r="O39" s="17"/>
      <c r="P39" s="19" t="str">
        <f>IF(N39&gt;0,(N39*VLOOKUP(Lookups!$K$11,Lookups!$M$10:$P$40,4,0)/VLOOKUP(O39,Lookups!$M$10:$P$40,4,0)),"")</f>
        <v/>
      </c>
      <c r="Q39" s="96" t="s">
        <v>1924</v>
      </c>
      <c r="R39" s="38" t="s">
        <v>621</v>
      </c>
      <c r="S39" s="47" t="s">
        <v>2330</v>
      </c>
      <c r="T39" s="13" t="s">
        <v>1912</v>
      </c>
      <c r="U39" s="13" t="s">
        <v>2265</v>
      </c>
    </row>
    <row r="40" spans="1:21" s="90" customFormat="1" ht="60" customHeight="1" collapsed="1" x14ac:dyDescent="0.2">
      <c r="A40" s="44" t="s">
        <v>1736</v>
      </c>
      <c r="B40" s="44" t="s">
        <v>624</v>
      </c>
      <c r="C40" s="44" t="s">
        <v>1085</v>
      </c>
      <c r="D40" s="52" t="s">
        <v>1454</v>
      </c>
      <c r="E40" s="37" t="s">
        <v>640</v>
      </c>
      <c r="F40" s="37" t="s">
        <v>683</v>
      </c>
      <c r="G40" s="37" t="s">
        <v>1399</v>
      </c>
      <c r="H40" s="89">
        <v>400</v>
      </c>
      <c r="I40" s="17" t="s">
        <v>664</v>
      </c>
      <c r="J40" s="19">
        <f>IF(H40&gt;0,(H40*VLOOKUP(Lookups!$K$11,Lookups!$M$10:$P$40,4,0)/VLOOKUP(I40,Lookups!$M$10:$P$40,4,0)),"")</f>
        <v>435.71360964718019</v>
      </c>
      <c r="K40" s="89"/>
      <c r="L40" s="17"/>
      <c r="M40" s="19" t="str">
        <f>IF(K40&gt;0,(K40*VLOOKUP(Lookups!$K$11,Lookups!$M$10:$P$40,4,0)/VLOOKUP(L40,Lookups!$M$10:$P$40,4,0)),"")</f>
        <v/>
      </c>
      <c r="N40" s="89"/>
      <c r="O40" s="17"/>
      <c r="P40" s="19" t="str">
        <f>IF(N40&gt;0,(N40*VLOOKUP(Lookups!$K$11,Lookups!$M$10:$P$40,4,0)/VLOOKUP(O40,Lookups!$M$10:$P$40,4,0)),"")</f>
        <v/>
      </c>
      <c r="Q40" s="37" t="s">
        <v>1358</v>
      </c>
      <c r="R40" s="38" t="s">
        <v>621</v>
      </c>
      <c r="S40" s="37" t="s">
        <v>1433</v>
      </c>
      <c r="T40" s="37"/>
      <c r="U40" s="37"/>
    </row>
    <row r="41" spans="1:21" s="40" customFormat="1" ht="60" hidden="1" customHeight="1" outlineLevel="1" x14ac:dyDescent="0.2">
      <c r="A41" s="46" t="s">
        <v>1736</v>
      </c>
      <c r="B41" s="46" t="s">
        <v>624</v>
      </c>
      <c r="C41" s="46" t="s">
        <v>1086</v>
      </c>
      <c r="D41" s="54" t="s">
        <v>1452</v>
      </c>
      <c r="E41" s="13" t="s">
        <v>640</v>
      </c>
      <c r="F41" s="13" t="s">
        <v>683</v>
      </c>
      <c r="G41" s="13" t="s">
        <v>1399</v>
      </c>
      <c r="H41" s="15">
        <v>1000</v>
      </c>
      <c r="I41" s="17" t="s">
        <v>664</v>
      </c>
      <c r="J41" s="19">
        <f>IF(H41&gt;0,(H41*VLOOKUP(Lookups!$K$11,Lookups!$M$10:$P$40,4,0)/VLOOKUP(I41,Lookups!$M$10:$P$40,4,0)),"")</f>
        <v>1089.2840241179504</v>
      </c>
      <c r="K41" s="15"/>
      <c r="L41" s="17"/>
      <c r="M41" s="19" t="str">
        <f>IF(K41&gt;0,(K41*VLOOKUP(Lookups!$K$11,Lookups!$M$10:$P$40,4,0)/VLOOKUP(L41,Lookups!$M$10:$P$40,4,0)),"")</f>
        <v/>
      </c>
      <c r="N41" s="15"/>
      <c r="O41" s="17"/>
      <c r="P41" s="19" t="str">
        <f>IF(N41&gt;0,(N41*VLOOKUP(Lookups!$K$11,Lookups!$M$10:$P$40,4,0)/VLOOKUP(O41,Lookups!$M$10:$P$40,4,0)),"")</f>
        <v/>
      </c>
      <c r="Q41" s="37" t="s">
        <v>1358</v>
      </c>
      <c r="R41" s="38" t="s">
        <v>621</v>
      </c>
      <c r="S41" s="13" t="s">
        <v>1434</v>
      </c>
      <c r="T41" s="13"/>
      <c r="U41" s="13"/>
    </row>
    <row r="42" spans="1:21" s="40" customFormat="1" ht="60" hidden="1" customHeight="1" outlineLevel="1" x14ac:dyDescent="0.2">
      <c r="A42" s="46" t="s">
        <v>1736</v>
      </c>
      <c r="B42" s="46" t="s">
        <v>624</v>
      </c>
      <c r="C42" s="46" t="s">
        <v>1087</v>
      </c>
      <c r="D42" s="54" t="s">
        <v>1453</v>
      </c>
      <c r="E42" s="13" t="s">
        <v>640</v>
      </c>
      <c r="F42" s="13" t="s">
        <v>683</v>
      </c>
      <c r="G42" s="13" t="s">
        <v>1399</v>
      </c>
      <c r="H42" s="15">
        <v>2210</v>
      </c>
      <c r="I42" s="17" t="s">
        <v>664</v>
      </c>
      <c r="J42" s="19">
        <f>IF(H42&gt;0,(H42*VLOOKUP(Lookups!$K$11,Lookups!$M$10:$P$40,4,0)/VLOOKUP(I42,Lookups!$M$10:$P$40,4,0)),"")</f>
        <v>2407.3176933006707</v>
      </c>
      <c r="K42" s="15"/>
      <c r="L42" s="17"/>
      <c r="M42" s="19" t="str">
        <f>IF(K42&gt;0,(K42*VLOOKUP(Lookups!$K$11,Lookups!$M$10:$P$40,4,0)/VLOOKUP(L42,Lookups!$M$10:$P$40,4,0)),"")</f>
        <v/>
      </c>
      <c r="N42" s="15"/>
      <c r="O42" s="17"/>
      <c r="P42" s="19" t="str">
        <f>IF(N42&gt;0,(N42*VLOOKUP(Lookups!$K$11,Lookups!$M$10:$P$40,4,0)/VLOOKUP(O42,Lookups!$M$10:$P$40,4,0)),"")</f>
        <v/>
      </c>
      <c r="Q42" s="37" t="s">
        <v>1358</v>
      </c>
      <c r="R42" s="38" t="s">
        <v>621</v>
      </c>
      <c r="S42" s="13" t="s">
        <v>1435</v>
      </c>
      <c r="T42" s="13"/>
      <c r="U42" s="13"/>
    </row>
    <row r="43" spans="1:21" s="90" customFormat="1" ht="60" customHeight="1" collapsed="1" x14ac:dyDescent="0.2">
      <c r="A43" s="44" t="s">
        <v>1736</v>
      </c>
      <c r="B43" s="44" t="s">
        <v>624</v>
      </c>
      <c r="C43" s="44" t="s">
        <v>1147</v>
      </c>
      <c r="D43" s="44" t="s">
        <v>2258</v>
      </c>
      <c r="E43" s="37" t="s">
        <v>631</v>
      </c>
      <c r="F43" s="37" t="s">
        <v>683</v>
      </c>
      <c r="G43" s="37" t="s">
        <v>1399</v>
      </c>
      <c r="H43" s="89">
        <v>81.3</v>
      </c>
      <c r="I43" s="17" t="s">
        <v>728</v>
      </c>
      <c r="J43" s="19">
        <f>IF(H43&gt;0,(H43*VLOOKUP(Lookups!$K$11,Lookups!$M$10:$P$40,4,0)/VLOOKUP(I43,Lookups!$M$10:$P$40,4,0)),"")</f>
        <v>82.438199999999995</v>
      </c>
      <c r="K43" s="89"/>
      <c r="L43" s="17"/>
      <c r="M43" s="19" t="str">
        <f>IF(K43&gt;0,(K43*VLOOKUP(Lookups!$K$11,Lookups!$M$10:$P$40,4,0)/VLOOKUP(L43,Lookups!$M$10:$P$40,4,0)),"")</f>
        <v/>
      </c>
      <c r="N43" s="89"/>
      <c r="O43" s="17"/>
      <c r="P43" s="19" t="str">
        <f>IF(N43&gt;0,(N43*VLOOKUP(Lookups!$K$11,Lookups!$M$10:$P$40,4,0)/VLOOKUP(O43,Lookups!$M$10:$P$40,4,0)),"")</f>
        <v/>
      </c>
      <c r="Q43" s="96" t="s">
        <v>2261</v>
      </c>
      <c r="R43" s="38" t="s">
        <v>621</v>
      </c>
      <c r="S43" s="37" t="s">
        <v>2266</v>
      </c>
      <c r="T43" s="13" t="s">
        <v>1911</v>
      </c>
      <c r="U43" s="13" t="s">
        <v>412</v>
      </c>
    </row>
    <row r="44" spans="1:21" s="40" customFormat="1" ht="60" hidden="1" customHeight="1" outlineLevel="1" x14ac:dyDescent="0.2">
      <c r="A44" s="46" t="s">
        <v>1736</v>
      </c>
      <c r="B44" s="46" t="s">
        <v>624</v>
      </c>
      <c r="C44" s="46" t="s">
        <v>1148</v>
      </c>
      <c r="D44" s="46" t="s">
        <v>2259</v>
      </c>
      <c r="E44" s="13" t="s">
        <v>631</v>
      </c>
      <c r="F44" s="13" t="s">
        <v>683</v>
      </c>
      <c r="G44" s="13" t="s">
        <v>1399</v>
      </c>
      <c r="H44" s="15">
        <v>54.45</v>
      </c>
      <c r="I44" s="17" t="s">
        <v>728</v>
      </c>
      <c r="J44" s="19">
        <f>IF(H44&gt;0,(H44*VLOOKUP(Lookups!$K$11,Lookups!$M$10:$P$40,4,0)/VLOOKUP(I44,Lookups!$M$10:$P$40,4,0)),"")</f>
        <v>55.212299999999999</v>
      </c>
      <c r="K44" s="15"/>
      <c r="L44" s="17"/>
      <c r="M44" s="19" t="str">
        <f>IF(K44&gt;0,(K44*VLOOKUP(Lookups!$K$11,Lookups!$M$10:$P$40,4,0)/VLOOKUP(L44,Lookups!$M$10:$P$40,4,0)),"")</f>
        <v/>
      </c>
      <c r="N44" s="15"/>
      <c r="O44" s="17"/>
      <c r="P44" s="19" t="str">
        <f>IF(N44&gt;0,(N44*VLOOKUP(Lookups!$K$11,Lookups!$M$10:$P$40,4,0)/VLOOKUP(O44,Lookups!$M$10:$P$40,4,0)),"")</f>
        <v/>
      </c>
      <c r="Q44" s="96" t="s">
        <v>2261</v>
      </c>
      <c r="R44" s="38" t="s">
        <v>621</v>
      </c>
      <c r="S44" s="37" t="s">
        <v>2266</v>
      </c>
      <c r="T44" s="13" t="s">
        <v>1911</v>
      </c>
      <c r="U44" s="13" t="s">
        <v>412</v>
      </c>
    </row>
    <row r="45" spans="1:21" s="40" customFormat="1" ht="60" hidden="1" customHeight="1" outlineLevel="1" x14ac:dyDescent="0.2">
      <c r="A45" s="46" t="s">
        <v>1736</v>
      </c>
      <c r="B45" s="46" t="s">
        <v>624</v>
      </c>
      <c r="C45" s="46" t="s">
        <v>1149</v>
      </c>
      <c r="D45" s="46" t="s">
        <v>2256</v>
      </c>
      <c r="E45" s="13" t="s">
        <v>631</v>
      </c>
      <c r="F45" s="13" t="s">
        <v>683</v>
      </c>
      <c r="G45" s="13" t="s">
        <v>1399</v>
      </c>
      <c r="H45" s="15">
        <v>56.75</v>
      </c>
      <c r="I45" s="17" t="s">
        <v>728</v>
      </c>
      <c r="J45" s="19">
        <f>IF(H45&gt;0,(H45*VLOOKUP(Lookups!$K$11,Lookups!$M$10:$P$40,4,0)/VLOOKUP(I45,Lookups!$M$10:$P$40,4,0)),"")</f>
        <v>57.544499999999999</v>
      </c>
      <c r="K45" s="15"/>
      <c r="L45" s="17"/>
      <c r="M45" s="19" t="str">
        <f>IF(K45&gt;0,(K45*VLOOKUP(Lookups!$K$11,Lookups!$M$10:$P$40,4,0)/VLOOKUP(L45,Lookups!$M$10:$P$40,4,0)),"")</f>
        <v/>
      </c>
      <c r="N45" s="15"/>
      <c r="O45" s="17"/>
      <c r="P45" s="19" t="str">
        <f>IF(N45&gt;0,(N45*VLOOKUP(Lookups!$K$11,Lookups!$M$10:$P$40,4,0)/VLOOKUP(O45,Lookups!$M$10:$P$40,4,0)),"")</f>
        <v/>
      </c>
      <c r="Q45" s="96" t="s">
        <v>2261</v>
      </c>
      <c r="R45" s="38" t="s">
        <v>621</v>
      </c>
      <c r="S45" s="37" t="s">
        <v>2266</v>
      </c>
      <c r="T45" s="13" t="s">
        <v>1911</v>
      </c>
      <c r="U45" s="13" t="s">
        <v>412</v>
      </c>
    </row>
    <row r="46" spans="1:21" s="40" customFormat="1" ht="60" hidden="1" customHeight="1" outlineLevel="1" x14ac:dyDescent="0.2">
      <c r="A46" s="46" t="s">
        <v>1736</v>
      </c>
      <c r="B46" s="46" t="s">
        <v>624</v>
      </c>
      <c r="C46" s="46" t="s">
        <v>1458</v>
      </c>
      <c r="D46" s="46" t="s">
        <v>2257</v>
      </c>
      <c r="E46" s="13" t="s">
        <v>631</v>
      </c>
      <c r="F46" s="13" t="s">
        <v>683</v>
      </c>
      <c r="G46" s="13" t="s">
        <v>1399</v>
      </c>
      <c r="H46" s="15">
        <v>21.55</v>
      </c>
      <c r="I46" s="17" t="s">
        <v>728</v>
      </c>
      <c r="J46" s="19">
        <f>IF(H46&gt;0,(H46*VLOOKUP(Lookups!$K$11,Lookups!$M$10:$P$40,4,0)/VLOOKUP(I46,Lookups!$M$10:$P$40,4,0)),"")</f>
        <v>21.851700000000001</v>
      </c>
      <c r="K46" s="15"/>
      <c r="L46" s="17"/>
      <c r="M46" s="19" t="str">
        <f>IF(K46&gt;0,(K46*VLOOKUP(Lookups!$K$11,Lookups!$M$10:$P$40,4,0)/VLOOKUP(L46,Lookups!$M$10:$P$40,4,0)),"")</f>
        <v/>
      </c>
      <c r="N46" s="15"/>
      <c r="O46" s="17"/>
      <c r="P46" s="19" t="str">
        <f>IF(N46&gt;0,(N46*VLOOKUP(Lookups!$K$11,Lookups!$M$10:$P$40,4,0)/VLOOKUP(O46,Lookups!$M$10:$P$40,4,0)),"")</f>
        <v/>
      </c>
      <c r="Q46" s="96" t="s">
        <v>2261</v>
      </c>
      <c r="R46" s="38" t="s">
        <v>621</v>
      </c>
      <c r="S46" s="37" t="s">
        <v>2266</v>
      </c>
      <c r="T46" s="13" t="s">
        <v>1911</v>
      </c>
      <c r="U46" s="13" t="s">
        <v>412</v>
      </c>
    </row>
    <row r="47" spans="1:21" s="90" customFormat="1" ht="60" customHeight="1" collapsed="1" x14ac:dyDescent="0.2">
      <c r="A47" s="44" t="s">
        <v>1736</v>
      </c>
      <c r="B47" s="44" t="s">
        <v>624</v>
      </c>
      <c r="C47" s="44" t="s">
        <v>1088</v>
      </c>
      <c r="D47" s="44" t="s">
        <v>2267</v>
      </c>
      <c r="E47" s="37" t="s">
        <v>631</v>
      </c>
      <c r="F47" s="37" t="s">
        <v>683</v>
      </c>
      <c r="G47" s="37" t="s">
        <v>1399</v>
      </c>
      <c r="H47" s="89">
        <v>81.3</v>
      </c>
      <c r="I47" s="17" t="s">
        <v>728</v>
      </c>
      <c r="J47" s="19">
        <f>IF(H47&gt;0,(H47*VLOOKUP(Lookups!$K$11,Lookups!$M$10:$P$40,4,0)/VLOOKUP(I47,Lookups!$M$10:$P$40,4,0)),"")</f>
        <v>82.438199999999995</v>
      </c>
      <c r="K47" s="89"/>
      <c r="L47" s="17"/>
      <c r="M47" s="19" t="str">
        <f>IF(K47&gt;0,(K47*VLOOKUP(Lookups!$K$11,Lookups!$M$10:$P$40,4,0)/VLOOKUP(L47,Lookups!$M$10:$P$40,4,0)),"")</f>
        <v/>
      </c>
      <c r="N47" s="89"/>
      <c r="O47" s="17"/>
      <c r="P47" s="19" t="str">
        <f>IF(N47&gt;0,(N47*VLOOKUP(Lookups!$K$11,Lookups!$M$10:$P$40,4,0)/VLOOKUP(O47,Lookups!$M$10:$P$40,4,0)),"")</f>
        <v/>
      </c>
      <c r="Q47" s="96" t="s">
        <v>2272</v>
      </c>
      <c r="R47" s="38" t="s">
        <v>621</v>
      </c>
      <c r="S47" s="37" t="s">
        <v>2278</v>
      </c>
      <c r="T47" s="13" t="s">
        <v>1911</v>
      </c>
      <c r="U47" s="13" t="s">
        <v>412</v>
      </c>
    </row>
    <row r="48" spans="1:21" s="40" customFormat="1" ht="60" hidden="1" customHeight="1" outlineLevel="1" x14ac:dyDescent="0.2">
      <c r="A48" s="46" t="s">
        <v>1736</v>
      </c>
      <c r="B48" s="46" t="s">
        <v>624</v>
      </c>
      <c r="C48" s="46" t="s">
        <v>1089</v>
      </c>
      <c r="D48" s="46" t="s">
        <v>2268</v>
      </c>
      <c r="E48" s="13" t="s">
        <v>631</v>
      </c>
      <c r="F48" s="13" t="s">
        <v>683</v>
      </c>
      <c r="G48" s="13" t="s">
        <v>1399</v>
      </c>
      <c r="H48" s="15">
        <v>54.45</v>
      </c>
      <c r="I48" s="17" t="s">
        <v>728</v>
      </c>
      <c r="J48" s="19">
        <f>IF(H48&gt;0,(H48*VLOOKUP(Lookups!$K$11,Lookups!$M$10:$P$40,4,0)/VLOOKUP(I48,Lookups!$M$10:$P$40,4,0)),"")</f>
        <v>55.212299999999999</v>
      </c>
      <c r="K48" s="15"/>
      <c r="L48" s="17"/>
      <c r="M48" s="19" t="str">
        <f>IF(K48&gt;0,(K48*VLOOKUP(Lookups!$K$11,Lookups!$M$10:$P$40,4,0)/VLOOKUP(L48,Lookups!$M$10:$P$40,4,0)),"")</f>
        <v/>
      </c>
      <c r="N48" s="15"/>
      <c r="O48" s="17"/>
      <c r="P48" s="19" t="str">
        <f>IF(N48&gt;0,(N48*VLOOKUP(Lookups!$K$11,Lookups!$M$10:$P$40,4,0)/VLOOKUP(O48,Lookups!$M$10:$P$40,4,0)),"")</f>
        <v/>
      </c>
      <c r="Q48" s="96" t="s">
        <v>2272</v>
      </c>
      <c r="R48" s="38" t="s">
        <v>621</v>
      </c>
      <c r="S48" s="37" t="s">
        <v>2280</v>
      </c>
      <c r="T48" s="13" t="s">
        <v>1911</v>
      </c>
      <c r="U48" s="13" t="s">
        <v>412</v>
      </c>
    </row>
    <row r="49" spans="1:21" s="40" customFormat="1" ht="60" hidden="1" customHeight="1" outlineLevel="1" x14ac:dyDescent="0.2">
      <c r="A49" s="46" t="s">
        <v>1736</v>
      </c>
      <c r="B49" s="46" t="s">
        <v>624</v>
      </c>
      <c r="C49" s="46" t="s">
        <v>1090</v>
      </c>
      <c r="D49" s="46" t="s">
        <v>2269</v>
      </c>
      <c r="E49" s="13" t="s">
        <v>631</v>
      </c>
      <c r="F49" s="13" t="s">
        <v>683</v>
      </c>
      <c r="G49" s="13" t="s">
        <v>1399</v>
      </c>
      <c r="H49" s="15">
        <v>21.55</v>
      </c>
      <c r="I49" s="17" t="s">
        <v>728</v>
      </c>
      <c r="J49" s="19">
        <f>IF(H49&gt;0,(H49*VLOOKUP(Lookups!$K$11,Lookups!$M$10:$P$40,4,0)/VLOOKUP(I49,Lookups!$M$10:$P$40,4,0)),"")</f>
        <v>21.851700000000001</v>
      </c>
      <c r="K49" s="15"/>
      <c r="L49" s="17"/>
      <c r="M49" s="19" t="str">
        <f>IF(K49&gt;0,(K49*VLOOKUP(Lookups!$K$11,Lookups!$M$10:$P$40,4,0)/VLOOKUP(L49,Lookups!$M$10:$P$40,4,0)),"")</f>
        <v/>
      </c>
      <c r="N49" s="15"/>
      <c r="O49" s="17"/>
      <c r="P49" s="19" t="str">
        <f>IF(N49&gt;0,(N49*VLOOKUP(Lookups!$K$11,Lookups!$M$10:$P$40,4,0)/VLOOKUP(O49,Lookups!$M$10:$P$40,4,0)),"")</f>
        <v/>
      </c>
      <c r="Q49" s="96" t="s">
        <v>2272</v>
      </c>
      <c r="R49" s="38" t="s">
        <v>621</v>
      </c>
      <c r="S49" s="37" t="s">
        <v>2323</v>
      </c>
      <c r="T49" s="13" t="s">
        <v>1911</v>
      </c>
      <c r="U49" s="13" t="s">
        <v>412</v>
      </c>
    </row>
    <row r="50" spans="1:21" s="40" customFormat="1" ht="60" hidden="1" customHeight="1" outlineLevel="1" x14ac:dyDescent="0.2">
      <c r="A50" s="46" t="s">
        <v>1736</v>
      </c>
      <c r="B50" s="46" t="s">
        <v>624</v>
      </c>
      <c r="C50" s="46" t="s">
        <v>2300</v>
      </c>
      <c r="D50" s="46" t="s">
        <v>2270</v>
      </c>
      <c r="E50" s="13" t="s">
        <v>631</v>
      </c>
      <c r="F50" s="13" t="s">
        <v>683</v>
      </c>
      <c r="G50" s="13" t="s">
        <v>1399</v>
      </c>
      <c r="H50" s="15">
        <v>56.75</v>
      </c>
      <c r="I50" s="17" t="s">
        <v>728</v>
      </c>
      <c r="J50" s="19">
        <f>IF(H50&gt;0,(H50*VLOOKUP(Lookups!$K$11,Lookups!$M$10:$P$40,4,0)/VLOOKUP(I50,Lookups!$M$10:$P$40,4,0)),"")</f>
        <v>57.544499999999999</v>
      </c>
      <c r="K50" s="15"/>
      <c r="L50" s="17"/>
      <c r="M50" s="19" t="str">
        <f>IF(K50&gt;0,(K50*VLOOKUP(Lookups!$K$11,Lookups!$M$10:$P$40,4,0)/VLOOKUP(L50,Lookups!$M$10:$P$40,4,0)),"")</f>
        <v/>
      </c>
      <c r="N50" s="15"/>
      <c r="O50" s="17"/>
      <c r="P50" s="19" t="str">
        <f>IF(N50&gt;0,(N50*VLOOKUP(Lookups!$K$11,Lookups!$M$10:$P$40,4,0)/VLOOKUP(O50,Lookups!$M$10:$P$40,4,0)),"")</f>
        <v/>
      </c>
      <c r="Q50" s="96" t="s">
        <v>2272</v>
      </c>
      <c r="R50" s="38" t="s">
        <v>621</v>
      </c>
      <c r="S50" s="37" t="s">
        <v>2324</v>
      </c>
      <c r="T50" s="13" t="s">
        <v>1911</v>
      </c>
      <c r="U50" s="13" t="s">
        <v>412</v>
      </c>
    </row>
    <row r="51" spans="1:21" s="40" customFormat="1" ht="60" hidden="1" customHeight="1" outlineLevel="1" x14ac:dyDescent="0.2">
      <c r="A51" s="46" t="s">
        <v>1736</v>
      </c>
      <c r="B51" s="46" t="s">
        <v>624</v>
      </c>
      <c r="C51" s="46" t="s">
        <v>2319</v>
      </c>
      <c r="D51" s="46" t="s">
        <v>2271</v>
      </c>
      <c r="E51" s="13" t="s">
        <v>631</v>
      </c>
      <c r="F51" s="13" t="s">
        <v>683</v>
      </c>
      <c r="G51" s="13" t="s">
        <v>1399</v>
      </c>
      <c r="H51" s="15">
        <v>21.55</v>
      </c>
      <c r="I51" s="17" t="s">
        <v>728</v>
      </c>
      <c r="J51" s="19">
        <f>IF(H51&gt;0,(H51*VLOOKUP(Lookups!$K$11,Lookups!$M$10:$P$40,4,0)/VLOOKUP(I51,Lookups!$M$10:$P$40,4,0)),"")</f>
        <v>21.851700000000001</v>
      </c>
      <c r="K51" s="15"/>
      <c r="L51" s="17"/>
      <c r="M51" s="19" t="str">
        <f>IF(K51&gt;0,(K51*VLOOKUP(Lookups!$K$11,Lookups!$M$10:$P$40,4,0)/VLOOKUP(L51,Lookups!$M$10:$P$40,4,0)),"")</f>
        <v/>
      </c>
      <c r="N51" s="15"/>
      <c r="O51" s="17"/>
      <c r="P51" s="19" t="str">
        <f>IF(N51&gt;0,(N51*VLOOKUP(Lookups!$K$11,Lookups!$M$10:$P$40,4,0)/VLOOKUP(O51,Lookups!$M$10:$P$40,4,0)),"")</f>
        <v/>
      </c>
      <c r="Q51" s="96" t="s">
        <v>2272</v>
      </c>
      <c r="R51" s="38" t="s">
        <v>621</v>
      </c>
      <c r="S51" s="37" t="s">
        <v>2325</v>
      </c>
      <c r="T51" s="13" t="s">
        <v>1911</v>
      </c>
      <c r="U51" s="13" t="s">
        <v>412</v>
      </c>
    </row>
    <row r="52" spans="1:21" s="90" customFormat="1" ht="60" customHeight="1" collapsed="1" x14ac:dyDescent="0.2">
      <c r="A52" s="44" t="s">
        <v>1736</v>
      </c>
      <c r="B52" s="44" t="s">
        <v>624</v>
      </c>
      <c r="C52" s="44" t="s">
        <v>1921</v>
      </c>
      <c r="D52" s="44" t="s">
        <v>2247</v>
      </c>
      <c r="E52" s="37" t="s">
        <v>631</v>
      </c>
      <c r="F52" s="37" t="s">
        <v>683</v>
      </c>
      <c r="G52" s="37" t="s">
        <v>1399</v>
      </c>
      <c r="H52" s="89">
        <v>81.3</v>
      </c>
      <c r="I52" s="17" t="s">
        <v>728</v>
      </c>
      <c r="J52" s="19">
        <f>IF(H52&gt;0,(H52*VLOOKUP(Lookups!$K$11,Lookups!$M$10:$P$40,4,0)/VLOOKUP(I52,Lookups!$M$10:$P$40,4,0)),"")</f>
        <v>82.438199999999995</v>
      </c>
      <c r="K52" s="89"/>
      <c r="L52" s="17"/>
      <c r="M52" s="19" t="str">
        <f>IF(K52&gt;0,(K52*VLOOKUP(Lookups!$K$11,Lookups!$M$10:$P$40,4,0)/VLOOKUP(L52,Lookups!$M$10:$P$40,4,0)),"")</f>
        <v/>
      </c>
      <c r="N52" s="89"/>
      <c r="O52" s="17"/>
      <c r="P52" s="19" t="str">
        <f>IF(N52&gt;0,(N52*VLOOKUP(Lookups!$K$11,Lookups!$M$10:$P$40,4,0)/VLOOKUP(O52,Lookups!$M$10:$P$40,4,0)),"")</f>
        <v/>
      </c>
      <c r="Q52" s="96" t="s">
        <v>2262</v>
      </c>
      <c r="R52" s="38" t="s">
        <v>621</v>
      </c>
      <c r="S52" s="37" t="s">
        <v>2273</v>
      </c>
      <c r="T52" s="13" t="s">
        <v>1912</v>
      </c>
      <c r="U52" s="13" t="s">
        <v>2263</v>
      </c>
    </row>
    <row r="53" spans="1:21" s="40" customFormat="1" ht="60" hidden="1" customHeight="1" outlineLevel="1" x14ac:dyDescent="0.2">
      <c r="A53" s="46" t="s">
        <v>1736</v>
      </c>
      <c r="B53" s="46" t="s">
        <v>624</v>
      </c>
      <c r="C53" s="46" t="s">
        <v>1922</v>
      </c>
      <c r="D53" s="46" t="s">
        <v>2248</v>
      </c>
      <c r="E53" s="13" t="s">
        <v>631</v>
      </c>
      <c r="F53" s="13" t="s">
        <v>683</v>
      </c>
      <c r="G53" s="13" t="s">
        <v>1399</v>
      </c>
      <c r="H53" s="15">
        <v>54.45</v>
      </c>
      <c r="I53" s="17" t="s">
        <v>728</v>
      </c>
      <c r="J53" s="19">
        <f>IF(H53&gt;0,(H53*VLOOKUP(Lookups!$K$11,Lookups!$M$10:$P$40,4,0)/VLOOKUP(I53,Lookups!$M$10:$P$40,4,0)),"")</f>
        <v>55.212299999999999</v>
      </c>
      <c r="K53" s="15"/>
      <c r="L53" s="17"/>
      <c r="M53" s="19" t="str">
        <f>IF(K53&gt;0,(K53*VLOOKUP(Lookups!$K$11,Lookups!$M$10:$P$40,4,0)/VLOOKUP(L53,Lookups!$M$10:$P$40,4,0)),"")</f>
        <v/>
      </c>
      <c r="N53" s="15"/>
      <c r="O53" s="17"/>
      <c r="P53" s="19" t="str">
        <f>IF(N53&gt;0,(N53*VLOOKUP(Lookups!$K$11,Lookups!$M$10:$P$40,4,0)/VLOOKUP(O53,Lookups!$M$10:$P$40,4,0)),"")</f>
        <v/>
      </c>
      <c r="Q53" s="96" t="s">
        <v>2262</v>
      </c>
      <c r="R53" s="38" t="s">
        <v>621</v>
      </c>
      <c r="S53" s="37" t="s">
        <v>2274</v>
      </c>
      <c r="T53" s="13" t="s">
        <v>1912</v>
      </c>
      <c r="U53" s="13" t="s">
        <v>2263</v>
      </c>
    </row>
    <row r="54" spans="1:21" s="40" customFormat="1" ht="60" hidden="1" customHeight="1" outlineLevel="1" x14ac:dyDescent="0.2">
      <c r="A54" s="46" t="s">
        <v>1736</v>
      </c>
      <c r="B54" s="46" t="s">
        <v>624</v>
      </c>
      <c r="C54" s="46" t="s">
        <v>2301</v>
      </c>
      <c r="D54" s="46" t="s">
        <v>2249</v>
      </c>
      <c r="E54" s="13" t="s">
        <v>631</v>
      </c>
      <c r="F54" s="13" t="s">
        <v>683</v>
      </c>
      <c r="G54" s="13" t="s">
        <v>1399</v>
      </c>
      <c r="H54" s="15">
        <v>21.55</v>
      </c>
      <c r="I54" s="17" t="s">
        <v>728</v>
      </c>
      <c r="J54" s="19">
        <f>IF(H54&gt;0,(H54*VLOOKUP(Lookups!$K$11,Lookups!$M$10:$P$40,4,0)/VLOOKUP(I54,Lookups!$M$10:$P$40,4,0)),"")</f>
        <v>21.851700000000001</v>
      </c>
      <c r="K54" s="15"/>
      <c r="L54" s="17"/>
      <c r="M54" s="19" t="str">
        <f>IF(K54&gt;0,(K54*VLOOKUP(Lookups!$K$11,Lookups!$M$10:$P$40,4,0)/VLOOKUP(L54,Lookups!$M$10:$P$40,4,0)),"")</f>
        <v/>
      </c>
      <c r="N54" s="15"/>
      <c r="O54" s="17"/>
      <c r="P54" s="19" t="str">
        <f>IF(N54&gt;0,(N54*VLOOKUP(Lookups!$K$11,Lookups!$M$10:$P$40,4,0)/VLOOKUP(O54,Lookups!$M$10:$P$40,4,0)),"")</f>
        <v/>
      </c>
      <c r="Q54" s="96" t="s">
        <v>2262</v>
      </c>
      <c r="R54" s="38" t="s">
        <v>621</v>
      </c>
      <c r="S54" s="37" t="s">
        <v>2275</v>
      </c>
      <c r="T54" s="13" t="s">
        <v>1912</v>
      </c>
      <c r="U54" s="13" t="s">
        <v>2263</v>
      </c>
    </row>
    <row r="55" spans="1:21" s="40" customFormat="1" ht="60" hidden="1" customHeight="1" outlineLevel="1" x14ac:dyDescent="0.2">
      <c r="A55" s="46" t="s">
        <v>1736</v>
      </c>
      <c r="B55" s="46" t="s">
        <v>624</v>
      </c>
      <c r="C55" s="46" t="s">
        <v>2302</v>
      </c>
      <c r="D55" s="46" t="s">
        <v>2250</v>
      </c>
      <c r="E55" s="13" t="s">
        <v>631</v>
      </c>
      <c r="F55" s="13" t="s">
        <v>683</v>
      </c>
      <c r="G55" s="13" t="s">
        <v>1399</v>
      </c>
      <c r="H55" s="15">
        <v>56.75</v>
      </c>
      <c r="I55" s="17" t="s">
        <v>728</v>
      </c>
      <c r="J55" s="19">
        <f>IF(H55&gt;0,(H55*VLOOKUP(Lookups!$K$11,Lookups!$M$10:$P$40,4,0)/VLOOKUP(I55,Lookups!$M$10:$P$40,4,0)),"")</f>
        <v>57.544499999999999</v>
      </c>
      <c r="K55" s="15"/>
      <c r="L55" s="17"/>
      <c r="M55" s="19" t="str">
        <f>IF(K55&gt;0,(K55*VLOOKUP(Lookups!$K$11,Lookups!$M$10:$P$40,4,0)/VLOOKUP(L55,Lookups!$M$10:$P$40,4,0)),"")</f>
        <v/>
      </c>
      <c r="N55" s="15"/>
      <c r="O55" s="17"/>
      <c r="P55" s="19" t="str">
        <f>IF(N55&gt;0,(N55*VLOOKUP(Lookups!$K$11,Lookups!$M$10:$P$40,4,0)/VLOOKUP(O55,Lookups!$M$10:$P$40,4,0)),"")</f>
        <v/>
      </c>
      <c r="Q55" s="96" t="s">
        <v>2262</v>
      </c>
      <c r="R55" s="38" t="s">
        <v>621</v>
      </c>
      <c r="S55" s="37" t="s">
        <v>2276</v>
      </c>
      <c r="T55" s="13" t="s">
        <v>1912</v>
      </c>
      <c r="U55" s="13" t="s">
        <v>2263</v>
      </c>
    </row>
    <row r="56" spans="1:21" s="40" customFormat="1" ht="60" hidden="1" customHeight="1" outlineLevel="1" x14ac:dyDescent="0.2">
      <c r="A56" s="46" t="s">
        <v>1736</v>
      </c>
      <c r="B56" s="46" t="s">
        <v>624</v>
      </c>
      <c r="C56" s="46" t="s">
        <v>2303</v>
      </c>
      <c r="D56" s="46" t="s">
        <v>2251</v>
      </c>
      <c r="E56" s="13" t="s">
        <v>631</v>
      </c>
      <c r="F56" s="13" t="s">
        <v>683</v>
      </c>
      <c r="G56" s="13" t="s">
        <v>1399</v>
      </c>
      <c r="H56" s="15">
        <v>21.55</v>
      </c>
      <c r="I56" s="17" t="s">
        <v>728</v>
      </c>
      <c r="J56" s="19">
        <f>IF(H56&gt;0,(H56*VLOOKUP(Lookups!$K$11,Lookups!$M$10:$P$40,4,0)/VLOOKUP(I56,Lookups!$M$10:$P$40,4,0)),"")</f>
        <v>21.851700000000001</v>
      </c>
      <c r="K56" s="15"/>
      <c r="L56" s="17"/>
      <c r="M56" s="19" t="str">
        <f>IF(K56&gt;0,(K56*VLOOKUP(Lookups!$K$11,Lookups!$M$10:$P$40,4,0)/VLOOKUP(L56,Lookups!$M$10:$P$40,4,0)),"")</f>
        <v/>
      </c>
      <c r="N56" s="15"/>
      <c r="O56" s="17"/>
      <c r="P56" s="19" t="str">
        <f>IF(N56&gt;0,(N56*VLOOKUP(Lookups!$K$11,Lookups!$M$10:$P$40,4,0)/VLOOKUP(O56,Lookups!$M$10:$P$40,4,0)),"")</f>
        <v/>
      </c>
      <c r="Q56" s="96" t="s">
        <v>2262</v>
      </c>
      <c r="R56" s="38" t="s">
        <v>621</v>
      </c>
      <c r="S56" s="37" t="s">
        <v>2277</v>
      </c>
      <c r="T56" s="13" t="s">
        <v>1912</v>
      </c>
      <c r="U56" s="13" t="s">
        <v>2263</v>
      </c>
    </row>
    <row r="57" spans="1:21" s="40" customFormat="1" ht="60" hidden="1" customHeight="1" outlineLevel="1" x14ac:dyDescent="0.2">
      <c r="A57" s="46" t="s">
        <v>1736</v>
      </c>
      <c r="B57" s="46" t="s">
        <v>624</v>
      </c>
      <c r="C57" s="46" t="s">
        <v>2304</v>
      </c>
      <c r="D57" s="54" t="s">
        <v>2252</v>
      </c>
      <c r="E57" s="13" t="s">
        <v>641</v>
      </c>
      <c r="F57" s="13" t="s">
        <v>683</v>
      </c>
      <c r="G57" s="13" t="s">
        <v>1399</v>
      </c>
      <c r="H57" s="15">
        <v>20</v>
      </c>
      <c r="I57" s="17" t="s">
        <v>727</v>
      </c>
      <c r="J57" s="19">
        <f>IF(H57&gt;0,(H57*VLOOKUP(Lookups!$K$11,Lookups!$M$10:$P$40,4,0)/VLOOKUP(I57,Lookups!$M$10:$P$40,4,0)),"")</f>
        <v>20.624759999999998</v>
      </c>
      <c r="K57" s="15"/>
      <c r="L57" s="17"/>
      <c r="M57" s="19" t="str">
        <f>IF(K57&gt;0,(K57*VLOOKUP(Lookups!$K$11,Lookups!$M$10:$P$40,4,0)/VLOOKUP(L57,Lookups!$M$10:$P$40,4,0)),"")</f>
        <v/>
      </c>
      <c r="N57" s="15"/>
      <c r="O57" s="17"/>
      <c r="P57" s="19" t="str">
        <f>IF(N57&gt;0,(N57*VLOOKUP(Lookups!$K$11,Lookups!$M$10:$P$40,4,0)/VLOOKUP(O57,Lookups!$M$10:$P$40,4,0)),"")</f>
        <v/>
      </c>
      <c r="Q57" s="96" t="s">
        <v>1924</v>
      </c>
      <c r="R57" s="38" t="s">
        <v>621</v>
      </c>
      <c r="S57" s="47" t="s">
        <v>2332</v>
      </c>
      <c r="T57" s="13" t="s">
        <v>1912</v>
      </c>
      <c r="U57" s="13" t="s">
        <v>2331</v>
      </c>
    </row>
    <row r="58" spans="1:21" s="90" customFormat="1" ht="60" hidden="1" customHeight="1" outlineLevel="1" x14ac:dyDescent="0.2">
      <c r="A58" s="46" t="s">
        <v>1736</v>
      </c>
      <c r="B58" s="46" t="s">
        <v>624</v>
      </c>
      <c r="C58" s="46" t="s">
        <v>2305</v>
      </c>
      <c r="D58" s="54" t="s">
        <v>1513</v>
      </c>
      <c r="E58" s="37" t="s">
        <v>641</v>
      </c>
      <c r="F58" s="37" t="s">
        <v>683</v>
      </c>
      <c r="G58" s="37" t="s">
        <v>1399</v>
      </c>
      <c r="H58" s="89">
        <v>144</v>
      </c>
      <c r="I58" s="17" t="s">
        <v>727</v>
      </c>
      <c r="J58" s="19">
        <f>IF(H58&gt;0,(H58*VLOOKUP(Lookups!$K$11,Lookups!$M$10:$P$40,4,0)/VLOOKUP(I58,Lookups!$M$10:$P$40,4,0)),"")</f>
        <v>148.49827199999999</v>
      </c>
      <c r="K58" s="89"/>
      <c r="L58" s="17"/>
      <c r="M58" s="19" t="str">
        <f>IF(K58&gt;0,(K58*VLOOKUP(Lookups!$K$11,Lookups!$M$10:$P$40,4,0)/VLOOKUP(L58,Lookups!$M$10:$P$40,4,0)),"")</f>
        <v/>
      </c>
      <c r="N58" s="89"/>
      <c r="O58" s="17"/>
      <c r="P58" s="19" t="str">
        <f>IF(N58&gt;0,(N58*VLOOKUP(Lookups!$K$11,Lookups!$M$10:$P$40,4,0)/VLOOKUP(O58,Lookups!$M$10:$P$40,4,0)),"")</f>
        <v/>
      </c>
      <c r="Q58" s="96" t="s">
        <v>1924</v>
      </c>
      <c r="R58" s="38" t="s">
        <v>621</v>
      </c>
      <c r="S58" s="97" t="s">
        <v>1514</v>
      </c>
      <c r="T58" s="13" t="s">
        <v>1912</v>
      </c>
      <c r="U58" s="13" t="s">
        <v>2331</v>
      </c>
    </row>
    <row r="59" spans="1:21" s="90" customFormat="1" ht="60" customHeight="1" collapsed="1" x14ac:dyDescent="0.2">
      <c r="A59" s="44" t="s">
        <v>1736</v>
      </c>
      <c r="B59" s="44" t="s">
        <v>624</v>
      </c>
      <c r="C59" s="44" t="s">
        <v>1432</v>
      </c>
      <c r="D59" s="44" t="s">
        <v>1503</v>
      </c>
      <c r="E59" s="37" t="s">
        <v>631</v>
      </c>
      <c r="F59" s="37" t="s">
        <v>683</v>
      </c>
      <c r="G59" s="37" t="s">
        <v>1399</v>
      </c>
      <c r="H59" s="89">
        <v>81.3</v>
      </c>
      <c r="I59" s="17" t="s">
        <v>728</v>
      </c>
      <c r="J59" s="19">
        <f>IF(H59&gt;0,(H59*VLOOKUP(Lookups!$K$11,Lookups!$M$10:$P$40,4,0)/VLOOKUP(I59,Lookups!$M$10:$P$40,4,0)),"")</f>
        <v>82.438199999999995</v>
      </c>
      <c r="K59" s="89"/>
      <c r="L59" s="17"/>
      <c r="M59" s="19" t="str">
        <f>IF(K59&gt;0,(K59*VLOOKUP(Lookups!$K$11,Lookups!$M$10:$P$40,4,0)/VLOOKUP(L59,Lookups!$M$10:$P$40,4,0)),"")</f>
        <v/>
      </c>
      <c r="N59" s="89"/>
      <c r="O59" s="17"/>
      <c r="P59" s="19" t="str">
        <f>IF(N59&gt;0,(N59*VLOOKUP(Lookups!$K$11,Lookups!$M$10:$P$40,4,0)/VLOOKUP(O59,Lookups!$M$10:$P$40,4,0)),"")</f>
        <v/>
      </c>
      <c r="Q59" s="96" t="s">
        <v>2255</v>
      </c>
      <c r="R59" s="38" t="s">
        <v>621</v>
      </c>
      <c r="S59" s="13" t="s">
        <v>1508</v>
      </c>
      <c r="T59" s="13" t="s">
        <v>1912</v>
      </c>
      <c r="U59" s="13" t="s">
        <v>2265</v>
      </c>
    </row>
    <row r="60" spans="1:21" s="40" customFormat="1" ht="60" hidden="1" customHeight="1" outlineLevel="1" x14ac:dyDescent="0.2">
      <c r="A60" s="46" t="s">
        <v>1736</v>
      </c>
      <c r="B60" s="46" t="s">
        <v>624</v>
      </c>
      <c r="C60" s="46" t="s">
        <v>1505</v>
      </c>
      <c r="D60" s="46" t="s">
        <v>1504</v>
      </c>
      <c r="E60" s="13" t="s">
        <v>631</v>
      </c>
      <c r="F60" s="13" t="s">
        <v>683</v>
      </c>
      <c r="G60" s="13" t="s">
        <v>1399</v>
      </c>
      <c r="H60" s="15">
        <v>54.45</v>
      </c>
      <c r="I60" s="17" t="s">
        <v>728</v>
      </c>
      <c r="J60" s="19">
        <f>IF(H60&gt;0,(H60*VLOOKUP(Lookups!$K$11,Lookups!$M$10:$P$40,4,0)/VLOOKUP(I60,Lookups!$M$10:$P$40,4,0)),"")</f>
        <v>55.212299999999999</v>
      </c>
      <c r="K60" s="15"/>
      <c r="L60" s="17"/>
      <c r="M60" s="19" t="str">
        <f>IF(K60&gt;0,(K60*VLOOKUP(Lookups!$K$11,Lookups!$M$10:$P$40,4,0)/VLOOKUP(L60,Lookups!$M$10:$P$40,4,0)),"")</f>
        <v/>
      </c>
      <c r="N60" s="15"/>
      <c r="O60" s="17"/>
      <c r="P60" s="19" t="str">
        <f>IF(N60&gt;0,(N60*VLOOKUP(Lookups!$K$11,Lookups!$M$10:$P$40,4,0)/VLOOKUP(O60,Lookups!$M$10:$P$40,4,0)),"")</f>
        <v/>
      </c>
      <c r="Q60" s="96" t="s">
        <v>2255</v>
      </c>
      <c r="R60" s="38" t="s">
        <v>621</v>
      </c>
      <c r="S60" s="13" t="s">
        <v>1439</v>
      </c>
      <c r="T60" s="13" t="s">
        <v>1912</v>
      </c>
      <c r="U60" s="13" t="s">
        <v>2265</v>
      </c>
    </row>
    <row r="61" spans="1:21" s="40" customFormat="1" ht="60" hidden="1" customHeight="1" outlineLevel="1" x14ac:dyDescent="0.2">
      <c r="A61" s="46" t="s">
        <v>1736</v>
      </c>
      <c r="B61" s="46" t="s">
        <v>624</v>
      </c>
      <c r="C61" s="46" t="s">
        <v>1506</v>
      </c>
      <c r="D61" s="46" t="s">
        <v>1507</v>
      </c>
      <c r="E61" s="13" t="s">
        <v>641</v>
      </c>
      <c r="F61" s="13" t="s">
        <v>683</v>
      </c>
      <c r="G61" s="13" t="s">
        <v>1399</v>
      </c>
      <c r="H61" s="15">
        <v>15</v>
      </c>
      <c r="I61" s="17" t="s">
        <v>727</v>
      </c>
      <c r="J61" s="19">
        <f>IF(H61&gt;0,(H61*VLOOKUP(Lookups!$K$11,Lookups!$M$10:$P$40,4,0)/VLOOKUP(I61,Lookups!$M$10:$P$40,4,0)),"")</f>
        <v>15.468569999999998</v>
      </c>
      <c r="K61" s="15"/>
      <c r="L61" s="17"/>
      <c r="M61" s="19" t="str">
        <f>IF(K61&gt;0,(K61*VLOOKUP(Lookups!$K$11,Lookups!$M$10:$P$40,4,0)/VLOOKUP(L61,Lookups!$M$10:$P$40,4,0)),"")</f>
        <v/>
      </c>
      <c r="N61" s="15"/>
      <c r="O61" s="17"/>
      <c r="P61" s="19" t="str">
        <f>IF(N61&gt;0,(N61*VLOOKUP(Lookups!$K$11,Lookups!$M$10:$P$40,4,0)/VLOOKUP(O61,Lookups!$M$10:$P$40,4,0)),"")</f>
        <v/>
      </c>
      <c r="Q61" s="96" t="s">
        <v>1924</v>
      </c>
      <c r="R61" s="38" t="s">
        <v>621</v>
      </c>
      <c r="S61" s="47" t="s">
        <v>2332</v>
      </c>
      <c r="T61" s="13" t="s">
        <v>1912</v>
      </c>
      <c r="U61" s="13" t="s">
        <v>2331</v>
      </c>
    </row>
    <row r="62" spans="1:21" s="90" customFormat="1" ht="60" customHeight="1" collapsed="1" x14ac:dyDescent="0.2">
      <c r="A62" s="44" t="s">
        <v>1736</v>
      </c>
      <c r="B62" s="44" t="s">
        <v>624</v>
      </c>
      <c r="C62" s="44" t="s">
        <v>2306</v>
      </c>
      <c r="D62" s="44" t="s">
        <v>2334</v>
      </c>
      <c r="E62" s="37" t="s">
        <v>631</v>
      </c>
      <c r="F62" s="37" t="s">
        <v>683</v>
      </c>
      <c r="G62" s="37" t="s">
        <v>1399</v>
      </c>
      <c r="H62" s="89">
        <v>61.35</v>
      </c>
      <c r="I62" s="17" t="s">
        <v>728</v>
      </c>
      <c r="J62" s="19">
        <f>IF(H62&gt;0,(H62*VLOOKUP(Lookups!$K$11,Lookups!$M$10:$P$40,4,0)/VLOOKUP(I62,Lookups!$M$10:$P$40,4,0)),"")</f>
        <v>62.2089</v>
      </c>
      <c r="K62" s="89"/>
      <c r="L62" s="17"/>
      <c r="M62" s="19" t="str">
        <f>IF(K62&gt;0,(K62*VLOOKUP(Lookups!$K$11,Lookups!$M$10:$P$40,4,0)/VLOOKUP(L62,Lookups!$M$10:$P$40,4,0)),"")</f>
        <v/>
      </c>
      <c r="N62" s="89"/>
      <c r="O62" s="17"/>
      <c r="P62" s="19" t="str">
        <f>IF(N62&gt;0,(N62*VLOOKUP(Lookups!$K$11,Lookups!$M$10:$P$40,4,0)/VLOOKUP(O62,Lookups!$M$10:$P$40,4,0)),"")</f>
        <v/>
      </c>
      <c r="Q62" s="96" t="s">
        <v>2253</v>
      </c>
      <c r="R62" s="38" t="s">
        <v>621</v>
      </c>
      <c r="S62" s="13" t="s">
        <v>2254</v>
      </c>
      <c r="T62" s="13" t="s">
        <v>1912</v>
      </c>
      <c r="U62" s="13" t="s">
        <v>2265</v>
      </c>
    </row>
    <row r="63" spans="1:21" s="90" customFormat="1" ht="60" hidden="1" customHeight="1" outlineLevel="1" x14ac:dyDescent="0.2">
      <c r="A63" s="46" t="s">
        <v>1736</v>
      </c>
      <c r="B63" s="46" t="s">
        <v>624</v>
      </c>
      <c r="C63" s="46" t="s">
        <v>2307</v>
      </c>
      <c r="D63" s="54" t="s">
        <v>2336</v>
      </c>
      <c r="E63" s="37" t="s">
        <v>641</v>
      </c>
      <c r="F63" s="37" t="s">
        <v>683</v>
      </c>
      <c r="G63" s="37" t="s">
        <v>1399</v>
      </c>
      <c r="H63" s="89">
        <v>62</v>
      </c>
      <c r="I63" s="17" t="s">
        <v>726</v>
      </c>
      <c r="J63" s="19">
        <f>IF(H63&gt;0,(H63*VLOOKUP(Lookups!$K$11,Lookups!$M$10:$P$40,4,0)/VLOOKUP(I63,Lookups!$M$10:$P$40,4,0)),"")</f>
        <v>65.294133329879998</v>
      </c>
      <c r="K63" s="89"/>
      <c r="L63" s="17"/>
      <c r="M63" s="19" t="str">
        <f>IF(K63&gt;0,(K63*VLOOKUP(Lookups!$K$11,Lookups!$M$10:$P$40,4,0)/VLOOKUP(L63,Lookups!$M$10:$P$40,4,0)),"")</f>
        <v/>
      </c>
      <c r="N63" s="89"/>
      <c r="O63" s="17"/>
      <c r="P63" s="19" t="str">
        <f>IF(N63&gt;0,(N63*VLOOKUP(Lookups!$K$11,Lookups!$M$10:$P$40,4,0)/VLOOKUP(O63,Lookups!$M$10:$P$40,4,0)),"")</f>
        <v/>
      </c>
      <c r="Q63" s="96" t="s">
        <v>1924</v>
      </c>
      <c r="R63" s="38" t="s">
        <v>621</v>
      </c>
      <c r="S63" s="97" t="s">
        <v>2337</v>
      </c>
      <c r="T63" s="13" t="s">
        <v>1911</v>
      </c>
      <c r="U63" s="13" t="s">
        <v>413</v>
      </c>
    </row>
    <row r="64" spans="1:21" s="40" customFormat="1" ht="60" hidden="1" customHeight="1" outlineLevel="1" x14ac:dyDescent="0.2">
      <c r="A64" s="46" t="s">
        <v>1736</v>
      </c>
      <c r="B64" s="46" t="s">
        <v>624</v>
      </c>
      <c r="C64" s="46" t="s">
        <v>2308</v>
      </c>
      <c r="D64" s="46" t="s">
        <v>2335</v>
      </c>
      <c r="E64" s="13" t="s">
        <v>641</v>
      </c>
      <c r="F64" s="13" t="s">
        <v>683</v>
      </c>
      <c r="G64" s="13" t="s">
        <v>1399</v>
      </c>
      <c r="H64" s="15">
        <v>30</v>
      </c>
      <c r="I64" s="17" t="s">
        <v>727</v>
      </c>
      <c r="J64" s="19">
        <f>IF(H64&gt;0,(H64*VLOOKUP(Lookups!$K$11,Lookups!$M$10:$P$40,4,0)/VLOOKUP(I64,Lookups!$M$10:$P$40,4,0)),"")</f>
        <v>30.937139999999996</v>
      </c>
      <c r="K64" s="15"/>
      <c r="L64" s="17"/>
      <c r="M64" s="19" t="str">
        <f>IF(K64&gt;0,(K64*VLOOKUP(Lookups!$K$11,Lookups!$M$10:$P$40,4,0)/VLOOKUP(L64,Lookups!$M$10:$P$40,4,0)),"")</f>
        <v/>
      </c>
      <c r="N64" s="15"/>
      <c r="O64" s="17"/>
      <c r="P64" s="19" t="str">
        <f>IF(N64&gt;0,(N64*VLOOKUP(Lookups!$K$11,Lookups!$M$10:$P$40,4,0)/VLOOKUP(O64,Lookups!$M$10:$P$40,4,0)),"")</f>
        <v/>
      </c>
      <c r="Q64" s="96" t="s">
        <v>1924</v>
      </c>
      <c r="R64" s="38" t="s">
        <v>621</v>
      </c>
      <c r="S64" s="47" t="s">
        <v>2333</v>
      </c>
      <c r="T64" s="13" t="s">
        <v>1912</v>
      </c>
      <c r="U64" s="13" t="s">
        <v>2331</v>
      </c>
    </row>
    <row r="65" spans="1:21" s="90" customFormat="1" ht="60" customHeight="1" collapsed="1" x14ac:dyDescent="0.2">
      <c r="A65" s="44" t="s">
        <v>1736</v>
      </c>
      <c r="B65" s="44" t="s">
        <v>2318</v>
      </c>
      <c r="C65" s="44" t="s">
        <v>2309</v>
      </c>
      <c r="D65" s="44" t="s">
        <v>2281</v>
      </c>
      <c r="E65" s="37" t="s">
        <v>634</v>
      </c>
      <c r="F65" s="37" t="s">
        <v>683</v>
      </c>
      <c r="G65" s="37" t="s">
        <v>2340</v>
      </c>
      <c r="H65" s="89">
        <v>4257</v>
      </c>
      <c r="I65" s="17" t="s">
        <v>664</v>
      </c>
      <c r="J65" s="19">
        <f>IF(H65&gt;0,(H65*VLOOKUP(Lookups!$K$11,Lookups!$M$10:$P$40,4,0)/VLOOKUP(I65,Lookups!$M$10:$P$40,4,0)),"")</f>
        <v>4637.0820906701147</v>
      </c>
      <c r="K65" s="89">
        <v>8998</v>
      </c>
      <c r="L65" s="17" t="s">
        <v>664</v>
      </c>
      <c r="M65" s="19">
        <f>IF(K65&gt;0,(K65*VLOOKUP(Lookups!$K$11,Lookups!$M$10:$P$40,4,0)/VLOOKUP(L65,Lookups!$M$10:$P$40,4,0)),"")</f>
        <v>9801.3776490133187</v>
      </c>
      <c r="N65" s="89"/>
      <c r="O65" s="17"/>
      <c r="P65" s="19" t="str">
        <f>IF(N65&gt;0,(N65*VLOOKUP(Lookups!$K$11,Lookups!$M$10:$P$40,4,0)/VLOOKUP(O65,Lookups!$M$10:$P$40,4,0)),"")</f>
        <v/>
      </c>
      <c r="Q65" s="78" t="s">
        <v>668</v>
      </c>
      <c r="R65" s="38" t="s">
        <v>619</v>
      </c>
      <c r="S65" s="97" t="s">
        <v>2342</v>
      </c>
      <c r="T65" s="13" t="s">
        <v>1912</v>
      </c>
      <c r="U65" s="13" t="s">
        <v>2339</v>
      </c>
    </row>
    <row r="66" spans="1:21" s="90" customFormat="1" ht="60" hidden="1" customHeight="1" outlineLevel="2" x14ac:dyDescent="0.2">
      <c r="A66" s="37" t="s">
        <v>1736</v>
      </c>
      <c r="B66" s="37" t="s">
        <v>2318</v>
      </c>
      <c r="C66" s="37" t="s">
        <v>2311</v>
      </c>
      <c r="D66" s="45" t="s">
        <v>2282</v>
      </c>
      <c r="E66" s="37" t="s">
        <v>634</v>
      </c>
      <c r="F66" s="37" t="s">
        <v>683</v>
      </c>
      <c r="G66" s="37"/>
      <c r="H66" s="89">
        <v>3218</v>
      </c>
      <c r="I66" s="17" t="s">
        <v>664</v>
      </c>
      <c r="J66" s="19">
        <f>IF(H66&gt;0,(H66*VLOOKUP(Lookups!$K$11,Lookups!$M$10:$P$40,4,0)/VLOOKUP(I66,Lookups!$M$10:$P$40,4,0)),"")</f>
        <v>3505.3159896115644</v>
      </c>
      <c r="K66" s="89"/>
      <c r="L66" s="17"/>
      <c r="M66" s="19" t="str">
        <f>IF(K66&gt;0,(K66*VLOOKUP(Lookups!$K$11,Lookups!$M$10:$P$40,4,0)/VLOOKUP(L66,Lookups!$M$10:$P$40,4,0)),"")</f>
        <v/>
      </c>
      <c r="N66" s="89"/>
      <c r="O66" s="17"/>
      <c r="P66" s="19" t="str">
        <f>IF(N66&gt;0,(N66*VLOOKUP(Lookups!$K$11,Lookups!$M$10:$P$40,4,0)/VLOOKUP(O66,Lookups!$M$10:$P$40,4,0)),"")</f>
        <v/>
      </c>
      <c r="Q66" s="78" t="s">
        <v>668</v>
      </c>
      <c r="R66" s="38" t="s">
        <v>619</v>
      </c>
      <c r="S66" s="37" t="s">
        <v>2338</v>
      </c>
      <c r="T66" s="13" t="s">
        <v>1911</v>
      </c>
      <c r="U66" s="13" t="s">
        <v>415</v>
      </c>
    </row>
    <row r="67" spans="1:21" s="90" customFormat="1" ht="60" hidden="1" customHeight="1" outlineLevel="2" x14ac:dyDescent="0.2">
      <c r="A67" s="37" t="s">
        <v>1736</v>
      </c>
      <c r="B67" s="37" t="s">
        <v>2318</v>
      </c>
      <c r="C67" s="37" t="s">
        <v>2312</v>
      </c>
      <c r="D67" s="45" t="s">
        <v>2283</v>
      </c>
      <c r="E67" s="37" t="s">
        <v>634</v>
      </c>
      <c r="F67" s="37" t="s">
        <v>2340</v>
      </c>
      <c r="G67" s="37"/>
      <c r="H67" s="89">
        <v>1039</v>
      </c>
      <c r="I67" s="17" t="s">
        <v>664</v>
      </c>
      <c r="J67" s="19">
        <f>IF(H67&gt;0,(H67*VLOOKUP(Lookups!$K$11,Lookups!$M$10:$P$40,4,0)/VLOOKUP(I67,Lookups!$M$10:$P$40,4,0)),"")</f>
        <v>1131.7661010585507</v>
      </c>
      <c r="K67" s="89"/>
      <c r="L67" s="17"/>
      <c r="M67" s="19" t="str">
        <f>IF(K67&gt;0,(K67*VLOOKUP(Lookups!$K$11,Lookups!$M$10:$P$40,4,0)/VLOOKUP(L67,Lookups!$M$10:$P$40,4,0)),"")</f>
        <v/>
      </c>
      <c r="N67" s="89"/>
      <c r="O67" s="17"/>
      <c r="P67" s="19" t="str">
        <f>IF(N67&gt;0,(N67*VLOOKUP(Lookups!$K$11,Lookups!$M$10:$P$40,4,0)/VLOOKUP(O67,Lookups!$M$10:$P$40,4,0)),"")</f>
        <v/>
      </c>
      <c r="Q67" s="78" t="s">
        <v>668</v>
      </c>
      <c r="R67" s="38" t="s">
        <v>619</v>
      </c>
      <c r="S67" s="37" t="s">
        <v>2341</v>
      </c>
      <c r="T67" s="13" t="s">
        <v>1911</v>
      </c>
      <c r="U67" s="13" t="s">
        <v>415</v>
      </c>
    </row>
    <row r="68" spans="1:21" s="90" customFormat="1" ht="60" hidden="1" customHeight="1" outlineLevel="1" x14ac:dyDescent="0.2">
      <c r="A68" s="46" t="s">
        <v>1736</v>
      </c>
      <c r="B68" s="46" t="s">
        <v>2318</v>
      </c>
      <c r="C68" s="46" t="s">
        <v>2310</v>
      </c>
      <c r="D68" s="46" t="s">
        <v>2284</v>
      </c>
      <c r="E68" s="37" t="s">
        <v>634</v>
      </c>
      <c r="F68" s="37" t="s">
        <v>683</v>
      </c>
      <c r="G68" s="37"/>
      <c r="H68" s="89">
        <v>536</v>
      </c>
      <c r="I68" s="17" t="s">
        <v>664</v>
      </c>
      <c r="J68" s="19">
        <f>IF(H68&gt;0,(H68*VLOOKUP(Lookups!$K$11,Lookups!$M$10:$P$40,4,0)/VLOOKUP(I68,Lookups!$M$10:$P$40,4,0)),"")</f>
        <v>583.8562369272214</v>
      </c>
      <c r="K68" s="89">
        <v>4576</v>
      </c>
      <c r="L68" s="17" t="s">
        <v>664</v>
      </c>
      <c r="M68" s="19">
        <f>IF(K68&gt;0,(K68*VLOOKUP(Lookups!$K$11,Lookups!$M$10:$P$40,4,0)/VLOOKUP(L68,Lookups!$M$10:$P$40,4,0)),"")</f>
        <v>4984.563694363741</v>
      </c>
      <c r="N68" s="89"/>
      <c r="O68" s="17"/>
      <c r="P68" s="19" t="str">
        <f>IF(N68&gt;0,(N68*VLOOKUP(Lookups!$K$11,Lookups!$M$10:$P$40,4,0)/VLOOKUP(O68,Lookups!$M$10:$P$40,4,0)),"")</f>
        <v/>
      </c>
      <c r="Q68" s="78" t="s">
        <v>668</v>
      </c>
      <c r="R68" s="38" t="s">
        <v>619</v>
      </c>
      <c r="S68" s="97" t="s">
        <v>2285</v>
      </c>
      <c r="T68" s="13" t="s">
        <v>1912</v>
      </c>
      <c r="U68" s="13" t="s">
        <v>2322</v>
      </c>
    </row>
    <row r="69" spans="1:21" s="90" customFormat="1" ht="60" hidden="1" customHeight="1" outlineLevel="1" x14ac:dyDescent="0.2">
      <c r="A69" s="46" t="s">
        <v>1736</v>
      </c>
      <c r="B69" s="46" t="s">
        <v>2318</v>
      </c>
      <c r="C69" s="46" t="s">
        <v>2313</v>
      </c>
      <c r="D69" s="46" t="s">
        <v>2287</v>
      </c>
      <c r="E69" s="37" t="s">
        <v>634</v>
      </c>
      <c r="F69" s="37" t="s">
        <v>2340</v>
      </c>
      <c r="G69" s="37" t="s">
        <v>683</v>
      </c>
      <c r="H69" s="89">
        <v>2912</v>
      </c>
      <c r="I69" s="17" t="s">
        <v>664</v>
      </c>
      <c r="J69" s="19">
        <f>IF(H69&gt;0,(H69*VLOOKUP(Lookups!$K$11,Lookups!$M$10:$P$40,4,0)/VLOOKUP(I69,Lookups!$M$10:$P$40,4,0)),"")</f>
        <v>3171.9950782314718</v>
      </c>
      <c r="K69" s="89">
        <v>6973</v>
      </c>
      <c r="L69" s="17" t="s">
        <v>664</v>
      </c>
      <c r="M69" s="19">
        <f>IF(K69&gt;0,(K69*VLOOKUP(Lookups!$K$11,Lookups!$M$10:$P$40,4,0)/VLOOKUP(L69,Lookups!$M$10:$P$40,4,0)),"")</f>
        <v>7595.5775001744678</v>
      </c>
      <c r="N69" s="89"/>
      <c r="O69" s="17"/>
      <c r="P69" s="19" t="str">
        <f>IF(N69&gt;0,(N69*VLOOKUP(Lookups!$K$11,Lookups!$M$10:$P$40,4,0)/VLOOKUP(O69,Lookups!$M$10:$P$40,4,0)),"")</f>
        <v/>
      </c>
      <c r="Q69" s="78" t="s">
        <v>668</v>
      </c>
      <c r="R69" s="38" t="s">
        <v>619</v>
      </c>
      <c r="S69" s="97" t="s">
        <v>2295</v>
      </c>
      <c r="T69" s="13" t="s">
        <v>1911</v>
      </c>
      <c r="U69" s="13" t="s">
        <v>416</v>
      </c>
    </row>
    <row r="70" spans="1:21" s="90" customFormat="1" ht="60" hidden="1" customHeight="1" outlineLevel="2" x14ac:dyDescent="0.2">
      <c r="A70" s="37" t="s">
        <v>1736</v>
      </c>
      <c r="B70" s="37" t="s">
        <v>2318</v>
      </c>
      <c r="C70" s="37" t="s">
        <v>2320</v>
      </c>
      <c r="D70" s="45" t="s">
        <v>2289</v>
      </c>
      <c r="E70" s="37" t="s">
        <v>634</v>
      </c>
      <c r="F70" s="37" t="s">
        <v>2340</v>
      </c>
      <c r="G70" s="37"/>
      <c r="H70" s="89">
        <v>2425.69</v>
      </c>
      <c r="I70" s="17" t="s">
        <v>664</v>
      </c>
      <c r="J70" s="19">
        <f>IF(H70&gt;0,(H70*VLOOKUP(Lookups!$K$11,Lookups!$M$10:$P$40,4,0)/VLOOKUP(I70,Lookups!$M$10:$P$40,4,0)),"")</f>
        <v>2642.2653644626712</v>
      </c>
      <c r="K70" s="89"/>
      <c r="L70" s="17"/>
      <c r="M70" s="19" t="str">
        <f>IF(K70&gt;0,(K70*VLOOKUP(Lookups!$K$11,Lookups!$M$10:$P$40,4,0)/VLOOKUP(L70,Lookups!$M$10:$P$40,4,0)),"")</f>
        <v/>
      </c>
      <c r="N70" s="89"/>
      <c r="O70" s="17"/>
      <c r="P70" s="19" t="str">
        <f>IF(N70&gt;0,(N70*VLOOKUP(Lookups!$K$11,Lookups!$M$10:$P$40,4,0)/VLOOKUP(O70,Lookups!$M$10:$P$40,4,0)),"")</f>
        <v/>
      </c>
      <c r="Q70" s="78" t="s">
        <v>668</v>
      </c>
      <c r="R70" s="38" t="s">
        <v>619</v>
      </c>
      <c r="S70" s="37" t="s">
        <v>2291</v>
      </c>
      <c r="T70" s="13" t="s">
        <v>1911</v>
      </c>
      <c r="U70" s="13" t="s">
        <v>414</v>
      </c>
    </row>
    <row r="71" spans="1:21" s="90" customFormat="1" ht="60" hidden="1" customHeight="1" outlineLevel="2" x14ac:dyDescent="0.2">
      <c r="A71" s="37" t="s">
        <v>1736</v>
      </c>
      <c r="B71" s="37" t="s">
        <v>2318</v>
      </c>
      <c r="C71" s="37" t="s">
        <v>2321</v>
      </c>
      <c r="D71" s="45" t="s">
        <v>2288</v>
      </c>
      <c r="E71" s="37" t="s">
        <v>634</v>
      </c>
      <c r="F71" s="37" t="s">
        <v>683</v>
      </c>
      <c r="G71" s="37"/>
      <c r="H71" s="89">
        <v>486.6</v>
      </c>
      <c r="I71" s="17" t="s">
        <v>664</v>
      </c>
      <c r="J71" s="19">
        <f>IF(H71&gt;0,(H71*VLOOKUP(Lookups!$K$11,Lookups!$M$10:$P$40,4,0)/VLOOKUP(I71,Lookups!$M$10:$P$40,4,0)),"")</f>
        <v>530.04560613579474</v>
      </c>
      <c r="K71" s="89"/>
      <c r="L71" s="17"/>
      <c r="M71" s="19" t="str">
        <f>IF(K71&gt;0,(K71*VLOOKUP(Lookups!$K$11,Lookups!$M$10:$P$40,4,0)/VLOOKUP(L71,Lookups!$M$10:$P$40,4,0)),"")</f>
        <v/>
      </c>
      <c r="N71" s="89"/>
      <c r="O71" s="17"/>
      <c r="P71" s="19" t="str">
        <f>IF(N71&gt;0,(N71*VLOOKUP(Lookups!$K$11,Lookups!$M$10:$P$40,4,0)/VLOOKUP(O71,Lookups!$M$10:$P$40,4,0)),"")</f>
        <v/>
      </c>
      <c r="Q71" s="78" t="s">
        <v>668</v>
      </c>
      <c r="R71" s="38" t="s">
        <v>619</v>
      </c>
      <c r="S71" s="37" t="s">
        <v>2290</v>
      </c>
      <c r="T71" s="13" t="s">
        <v>1911</v>
      </c>
      <c r="U71" s="13" t="s">
        <v>414</v>
      </c>
    </row>
    <row r="72" spans="1:21" s="90" customFormat="1" ht="60" hidden="1" customHeight="1" outlineLevel="1" x14ac:dyDescent="0.2">
      <c r="A72" s="46" t="s">
        <v>1736</v>
      </c>
      <c r="B72" s="46" t="s">
        <v>2318</v>
      </c>
      <c r="C72" s="46" t="s">
        <v>2314</v>
      </c>
      <c r="D72" s="46" t="s">
        <v>2286</v>
      </c>
      <c r="E72" s="37" t="s">
        <v>634</v>
      </c>
      <c r="F72" s="37" t="s">
        <v>2340</v>
      </c>
      <c r="G72" s="37" t="s">
        <v>683</v>
      </c>
      <c r="H72" s="89">
        <v>2269</v>
      </c>
      <c r="I72" s="17" t="s">
        <v>664</v>
      </c>
      <c r="J72" s="19">
        <f>IF(H72&gt;0,(H72*VLOOKUP(Lookups!$K$11,Lookups!$M$10:$P$40,4,0)/VLOOKUP(I72,Lookups!$M$10:$P$40,4,0)),"")</f>
        <v>2471.5854507236295</v>
      </c>
      <c r="K72" s="89">
        <v>4505</v>
      </c>
      <c r="L72" s="17" t="s">
        <v>664</v>
      </c>
      <c r="M72" s="19">
        <f>IF(K72&gt;0,(K72*VLOOKUP(Lookups!$K$11,Lookups!$M$10:$P$40,4,0)/VLOOKUP(L72,Lookups!$M$10:$P$40,4,0)),"")</f>
        <v>4907.2245286513671</v>
      </c>
      <c r="N72" s="89"/>
      <c r="O72" s="17"/>
      <c r="P72" s="19" t="str">
        <f>IF(N72&gt;0,(N72*VLOOKUP(Lookups!$K$11,Lookups!$M$10:$P$40,4,0)/VLOOKUP(O72,Lookups!$M$10:$P$40,4,0)),"")</f>
        <v/>
      </c>
      <c r="Q72" s="78" t="s">
        <v>668</v>
      </c>
      <c r="R72" s="38" t="s">
        <v>619</v>
      </c>
      <c r="S72" s="97" t="s">
        <v>2296</v>
      </c>
      <c r="T72" s="13" t="s">
        <v>1911</v>
      </c>
      <c r="U72" s="13" t="s">
        <v>416</v>
      </c>
    </row>
    <row r="73" spans="1:21" s="90" customFormat="1" ht="60" hidden="1" customHeight="1" outlineLevel="2" x14ac:dyDescent="0.2">
      <c r="A73" s="37" t="s">
        <v>1736</v>
      </c>
      <c r="B73" s="37" t="s">
        <v>2318</v>
      </c>
      <c r="C73" s="37" t="s">
        <v>2315</v>
      </c>
      <c r="D73" s="45" t="s">
        <v>2292</v>
      </c>
      <c r="E73" s="37" t="s">
        <v>634</v>
      </c>
      <c r="F73" s="37" t="s">
        <v>2340</v>
      </c>
      <c r="G73" s="37"/>
      <c r="H73" s="89">
        <v>1529.5</v>
      </c>
      <c r="I73" s="17" t="s">
        <v>664</v>
      </c>
      <c r="J73" s="19">
        <f>IF(H73&gt;0,(H73*VLOOKUP(Lookups!$K$11,Lookups!$M$10:$P$40,4,0)/VLOOKUP(I73,Lookups!$M$10:$P$40,4,0)),"")</f>
        <v>1666.059914888405</v>
      </c>
      <c r="K73" s="89"/>
      <c r="L73" s="17"/>
      <c r="M73" s="19" t="str">
        <f>IF(K73&gt;0,(K73*VLOOKUP(Lookups!$K$11,Lookups!$M$10:$P$40,4,0)/VLOOKUP(L73,Lookups!$M$10:$P$40,4,0)),"")</f>
        <v/>
      </c>
      <c r="N73" s="89"/>
      <c r="O73" s="17"/>
      <c r="P73" s="19" t="str">
        <f>IF(N73&gt;0,(N73*VLOOKUP(Lookups!$K$11,Lookups!$M$10:$P$40,4,0)/VLOOKUP(O73,Lookups!$M$10:$P$40,4,0)),"")</f>
        <v/>
      </c>
      <c r="Q73" s="78" t="s">
        <v>668</v>
      </c>
      <c r="R73" s="38" t="s">
        <v>619</v>
      </c>
      <c r="S73" s="37" t="s">
        <v>2297</v>
      </c>
      <c r="T73" s="13" t="s">
        <v>1911</v>
      </c>
      <c r="U73" s="13" t="s">
        <v>414</v>
      </c>
    </row>
    <row r="74" spans="1:21" s="90" customFormat="1" ht="60" hidden="1" customHeight="1" outlineLevel="2" x14ac:dyDescent="0.2">
      <c r="A74" s="37" t="s">
        <v>1736</v>
      </c>
      <c r="B74" s="37" t="s">
        <v>2318</v>
      </c>
      <c r="C74" s="37" t="s">
        <v>2316</v>
      </c>
      <c r="D74" s="45" t="s">
        <v>2293</v>
      </c>
      <c r="E74" s="37" t="s">
        <v>634</v>
      </c>
      <c r="F74" s="37" t="s">
        <v>683</v>
      </c>
      <c r="G74" s="37"/>
      <c r="H74" s="89">
        <v>739.77</v>
      </c>
      <c r="I74" s="17" t="s">
        <v>664</v>
      </c>
      <c r="J74" s="19">
        <f>IF(H74&gt;0,(H74*VLOOKUP(Lookups!$K$11,Lookups!$M$10:$P$40,4,0)/VLOOKUP(I74,Lookups!$M$10:$P$40,4,0)),"")</f>
        <v>805.81964252173611</v>
      </c>
      <c r="K74" s="89"/>
      <c r="L74" s="17"/>
      <c r="M74" s="19" t="str">
        <f>IF(K74&gt;0,(K74*VLOOKUP(Lookups!$K$11,Lookups!$M$10:$P$40,4,0)/VLOOKUP(L74,Lookups!$M$10:$P$40,4,0)),"")</f>
        <v/>
      </c>
      <c r="N74" s="89"/>
      <c r="O74" s="17"/>
      <c r="P74" s="19" t="str">
        <f>IF(N74&gt;0,(N74*VLOOKUP(Lookups!$K$11,Lookups!$M$10:$P$40,4,0)/VLOOKUP(O74,Lookups!$M$10:$P$40,4,0)),"")</f>
        <v/>
      </c>
      <c r="Q74" s="78" t="s">
        <v>668</v>
      </c>
      <c r="R74" s="38" t="s">
        <v>619</v>
      </c>
      <c r="S74" s="37" t="s">
        <v>2294</v>
      </c>
      <c r="T74" s="13" t="s">
        <v>1911</v>
      </c>
      <c r="U74" s="13" t="s">
        <v>414</v>
      </c>
    </row>
    <row r="75" spans="1:21" s="40" customFormat="1" ht="60" hidden="1" customHeight="1" outlineLevel="1" x14ac:dyDescent="0.2">
      <c r="A75" s="46" t="s">
        <v>1736</v>
      </c>
      <c r="B75" s="46" t="s">
        <v>2318</v>
      </c>
      <c r="C75" s="46" t="s">
        <v>2317</v>
      </c>
      <c r="D75" s="46" t="s">
        <v>2048</v>
      </c>
      <c r="E75" s="13" t="s">
        <v>735</v>
      </c>
      <c r="F75" s="13" t="s">
        <v>683</v>
      </c>
      <c r="G75" s="13" t="s">
        <v>2340</v>
      </c>
      <c r="H75" s="15">
        <v>64483</v>
      </c>
      <c r="I75" s="17" t="s">
        <v>664</v>
      </c>
      <c r="J75" s="19">
        <f>IF(H75&gt;0,(H75*VLOOKUP(Lookups!$K$11,Lookups!$M$10:$P$40,4,0)/VLOOKUP(I75,Lookups!$M$10:$P$40,4,0)),"")</f>
        <v>70240.301727197802</v>
      </c>
      <c r="K75" s="15"/>
      <c r="L75" s="17"/>
      <c r="M75" s="19" t="str">
        <f>IF(K75&gt;0,(K75*VLOOKUP(Lookups!$K$11,Lookups!$M$10:$P$40,4,0)/VLOOKUP(L75,Lookups!$M$10:$P$40,4,0)),"")</f>
        <v/>
      </c>
      <c r="N75" s="15"/>
      <c r="O75" s="17"/>
      <c r="P75" s="19" t="str">
        <f>IF(N75&gt;0,(N75*VLOOKUP(Lookups!$K$11,Lookups!$M$10:$P$40,4,0)/VLOOKUP(O75,Lookups!$M$10:$P$40,4,0)),"")</f>
        <v/>
      </c>
      <c r="Q75" s="37" t="s">
        <v>1091</v>
      </c>
      <c r="R75" s="38" t="s">
        <v>619</v>
      </c>
      <c r="S75" s="13" t="s">
        <v>1092</v>
      </c>
      <c r="T75" s="13"/>
      <c r="U75" s="120" t="s">
        <v>2264</v>
      </c>
    </row>
    <row r="76" spans="1:21" s="90" customFormat="1" ht="60" customHeight="1" x14ac:dyDescent="0.2">
      <c r="A76" s="44" t="s">
        <v>1736</v>
      </c>
      <c r="B76" s="44" t="s">
        <v>2496</v>
      </c>
      <c r="C76" s="44" t="s">
        <v>2494</v>
      </c>
      <c r="D76" s="44" t="s">
        <v>2499</v>
      </c>
      <c r="E76" s="37" t="s">
        <v>1369</v>
      </c>
      <c r="F76" s="37" t="s">
        <v>683</v>
      </c>
      <c r="G76" s="37" t="s">
        <v>1399</v>
      </c>
      <c r="H76" s="89">
        <v>31174</v>
      </c>
      <c r="I76" s="17" t="s">
        <v>727</v>
      </c>
      <c r="J76" s="19">
        <f>IF(H76&gt;0,(H76*VLOOKUP(Lookups!$K$11,Lookups!$M$10:$P$40,4,0)/VLOOKUP(I76,Lookups!$M$10:$P$40,4,0)),"")</f>
        <v>32147.813411999996</v>
      </c>
      <c r="K76" s="89"/>
      <c r="L76" s="17"/>
      <c r="M76" s="19" t="str">
        <f>IF(K76&gt;0,(K76*VLOOKUP(Lookups!$K$11,Lookups!$M$10:$P$40,4,0)/VLOOKUP(L76,Lookups!$M$10:$P$40,4,0)),"")</f>
        <v/>
      </c>
      <c r="N76" s="89"/>
      <c r="O76" s="17"/>
      <c r="P76" s="19" t="str">
        <f>IF(N76&gt;0,(N76*VLOOKUP(Lookups!$K$11,Lookups!$M$10:$P$40,4,0)/VLOOKUP(O76,Lookups!$M$10:$P$40,4,0)),"")</f>
        <v/>
      </c>
      <c r="Q76" s="37" t="s">
        <v>2495</v>
      </c>
      <c r="R76" s="38" t="s">
        <v>621</v>
      </c>
      <c r="S76" s="97" t="s">
        <v>45</v>
      </c>
      <c r="T76" s="13" t="s">
        <v>1911</v>
      </c>
      <c r="U76" s="13" t="s">
        <v>2497</v>
      </c>
    </row>
    <row r="77" spans="1:21" s="90" customFormat="1" ht="60" customHeight="1" x14ac:dyDescent="0.2">
      <c r="A77" s="46" t="s">
        <v>1736</v>
      </c>
      <c r="B77" s="46" t="s">
        <v>2496</v>
      </c>
      <c r="C77" s="46" t="s">
        <v>2498</v>
      </c>
      <c r="D77" s="46" t="s">
        <v>2500</v>
      </c>
      <c r="E77" s="37" t="s">
        <v>1369</v>
      </c>
      <c r="F77" s="37" t="s">
        <v>683</v>
      </c>
      <c r="G77" s="37" t="s">
        <v>1399</v>
      </c>
      <c r="H77" s="89">
        <v>38453</v>
      </c>
      <c r="I77" s="17" t="s">
        <v>727</v>
      </c>
      <c r="J77" s="19">
        <f>IF(H77&gt;0,(H77*VLOOKUP(Lookups!$K$11,Lookups!$M$10:$P$40,4,0)/VLOOKUP(I77,Lookups!$M$10:$P$40,4,0)),"")</f>
        <v>39654.194813999995</v>
      </c>
      <c r="K77" s="89"/>
      <c r="L77" s="17"/>
      <c r="M77" s="19" t="str">
        <f>IF(K77&gt;0,(K77*VLOOKUP(Lookups!$K$11,Lookups!$M$10:$P$40,4,0)/VLOOKUP(L77,Lookups!$M$10:$P$40,4,0)),"")</f>
        <v/>
      </c>
      <c r="N77" s="89"/>
      <c r="O77" s="17"/>
      <c r="P77" s="19" t="str">
        <f>IF(N77&gt;0,(N77*VLOOKUP(Lookups!$K$11,Lookups!$M$10:$P$40,4,0)/VLOOKUP(O77,Lookups!$M$10:$P$40,4,0)),"")</f>
        <v/>
      </c>
      <c r="Q77" s="37" t="s">
        <v>2495</v>
      </c>
      <c r="R77" s="38" t="s">
        <v>621</v>
      </c>
      <c r="S77" s="97" t="s">
        <v>46</v>
      </c>
      <c r="T77" s="13" t="s">
        <v>1911</v>
      </c>
      <c r="U77" s="13" t="s">
        <v>2497</v>
      </c>
    </row>
    <row r="78" spans="1:21" customFormat="1" ht="12.75" customHeight="1" x14ac:dyDescent="0.2"/>
    <row r="79" spans="1:21" customFormat="1" ht="12.75" customHeight="1" x14ac:dyDescent="0.2"/>
    <row r="80" spans="1:21" ht="12.75" customHeight="1" x14ac:dyDescent="0.2">
      <c r="A80" s="179" t="s">
        <v>1231</v>
      </c>
      <c r="B80" s="63"/>
      <c r="C80" s="63"/>
      <c r="D80" s="113"/>
      <c r="E80" s="62"/>
      <c r="F80" s="64"/>
      <c r="G80" s="64"/>
      <c r="I80" s="60" t="s">
        <v>729</v>
      </c>
      <c r="L80" s="60" t="s">
        <v>729</v>
      </c>
      <c r="O80" s="60" t="s">
        <v>729</v>
      </c>
      <c r="R80" s="60" t="s">
        <v>616</v>
      </c>
      <c r="T80" s="5" t="s">
        <v>1911</v>
      </c>
    </row>
    <row r="81" spans="1:31" x14ac:dyDescent="0.2">
      <c r="A81" s="180"/>
      <c r="D81" s="86"/>
      <c r="I81" s="60" t="s">
        <v>728</v>
      </c>
      <c r="L81" s="60" t="s">
        <v>728</v>
      </c>
      <c r="O81" s="60" t="s">
        <v>728</v>
      </c>
      <c r="R81" s="60" t="s">
        <v>619</v>
      </c>
      <c r="T81" s="5" t="s">
        <v>1912</v>
      </c>
    </row>
    <row r="82" spans="1:31" x14ac:dyDescent="0.2">
      <c r="A82" s="180"/>
      <c r="D82" s="86"/>
      <c r="I82" s="17" t="s">
        <v>727</v>
      </c>
      <c r="L82" s="17" t="s">
        <v>727</v>
      </c>
      <c r="O82" s="17" t="s">
        <v>727</v>
      </c>
      <c r="R82" s="60" t="s">
        <v>621</v>
      </c>
    </row>
    <row r="83" spans="1:31" x14ac:dyDescent="0.2">
      <c r="A83" s="180"/>
      <c r="D83" s="86"/>
      <c r="I83" s="17" t="s">
        <v>726</v>
      </c>
      <c r="L83" s="17" t="s">
        <v>726</v>
      </c>
      <c r="O83" s="17" t="s">
        <v>726</v>
      </c>
    </row>
    <row r="84" spans="1:31" x14ac:dyDescent="0.2">
      <c r="A84" s="180"/>
      <c r="D84" s="86"/>
      <c r="I84" s="17" t="s">
        <v>665</v>
      </c>
      <c r="L84" s="17" t="s">
        <v>665</v>
      </c>
      <c r="O84" s="17" t="s">
        <v>665</v>
      </c>
    </row>
    <row r="85" spans="1:31" x14ac:dyDescent="0.2">
      <c r="A85" s="180"/>
      <c r="D85" s="86"/>
      <c r="I85" s="17" t="s">
        <v>664</v>
      </c>
      <c r="L85" s="17" t="s">
        <v>664</v>
      </c>
      <c r="O85" s="17" t="s">
        <v>664</v>
      </c>
    </row>
    <row r="86" spans="1:31" x14ac:dyDescent="0.2">
      <c r="A86" s="180"/>
      <c r="D86" s="86"/>
      <c r="I86" s="17" t="s">
        <v>663</v>
      </c>
      <c r="L86" s="17" t="s">
        <v>663</v>
      </c>
      <c r="O86" s="17" t="s">
        <v>663</v>
      </c>
    </row>
    <row r="87" spans="1:31" x14ac:dyDescent="0.2">
      <c r="A87" s="180"/>
      <c r="D87" s="86"/>
      <c r="I87" s="17" t="s">
        <v>662</v>
      </c>
      <c r="L87" s="17" t="s">
        <v>662</v>
      </c>
      <c r="O87" s="17" t="s">
        <v>662</v>
      </c>
    </row>
    <row r="88" spans="1:31" x14ac:dyDescent="0.2">
      <c r="A88" s="180"/>
      <c r="D88" s="86"/>
      <c r="I88" s="17" t="s">
        <v>661</v>
      </c>
      <c r="L88" s="17" t="s">
        <v>661</v>
      </c>
      <c r="O88" s="17" t="s">
        <v>661</v>
      </c>
    </row>
    <row r="89" spans="1:31" x14ac:dyDescent="0.2">
      <c r="A89" s="180"/>
      <c r="D89" s="86"/>
      <c r="I89" s="17" t="s">
        <v>660</v>
      </c>
      <c r="L89" s="17" t="s">
        <v>660</v>
      </c>
      <c r="O89" s="17" t="s">
        <v>660</v>
      </c>
    </row>
    <row r="90" spans="1:31" x14ac:dyDescent="0.2">
      <c r="A90" s="180"/>
      <c r="D90" s="86"/>
      <c r="I90" s="17" t="s">
        <v>659</v>
      </c>
      <c r="L90" s="17" t="s">
        <v>659</v>
      </c>
      <c r="O90" s="17" t="s">
        <v>659</v>
      </c>
    </row>
    <row r="91" spans="1:31" x14ac:dyDescent="0.2">
      <c r="A91" s="180"/>
      <c r="D91" s="86"/>
      <c r="I91" s="17" t="s">
        <v>658</v>
      </c>
      <c r="L91" s="17" t="s">
        <v>658</v>
      </c>
      <c r="O91" s="17" t="s">
        <v>658</v>
      </c>
    </row>
    <row r="92" spans="1:31" x14ac:dyDescent="0.2">
      <c r="A92" s="180"/>
      <c r="D92" s="86"/>
      <c r="I92" s="17" t="s">
        <v>657</v>
      </c>
      <c r="L92" s="17" t="s">
        <v>657</v>
      </c>
      <c r="O92" s="17" t="s">
        <v>657</v>
      </c>
    </row>
    <row r="93" spans="1:31" x14ac:dyDescent="0.2">
      <c r="A93" s="180"/>
      <c r="D93" s="86"/>
      <c r="I93" s="17" t="s">
        <v>656</v>
      </c>
      <c r="L93" s="17" t="s">
        <v>656</v>
      </c>
      <c r="O93" s="17" t="s">
        <v>656</v>
      </c>
    </row>
    <row r="94" spans="1:31" s="84" customFormat="1" x14ac:dyDescent="0.2">
      <c r="A94" s="180"/>
      <c r="B94" s="85"/>
      <c r="C94" s="85"/>
      <c r="D94" s="86"/>
      <c r="E94" s="82"/>
      <c r="F94" s="82"/>
      <c r="G94" s="82"/>
      <c r="H94" s="82"/>
      <c r="I94" s="17" t="s">
        <v>653</v>
      </c>
      <c r="K94" s="82"/>
      <c r="L94" s="17" t="s">
        <v>653</v>
      </c>
      <c r="N94" s="82"/>
      <c r="O94" s="17" t="s">
        <v>653</v>
      </c>
      <c r="Q94" s="81"/>
      <c r="R94" s="81"/>
      <c r="S94" s="81"/>
      <c r="T94" s="79"/>
      <c r="U94" s="79"/>
      <c r="V94" s="79"/>
      <c r="W94" s="79"/>
      <c r="X94" s="79"/>
      <c r="Y94" s="79"/>
      <c r="Z94" s="79"/>
      <c r="AA94" s="79"/>
      <c r="AB94" s="79"/>
      <c r="AC94" s="79"/>
      <c r="AD94" s="79"/>
      <c r="AE94" s="79"/>
    </row>
    <row r="95" spans="1:31" s="84" customFormat="1" x14ac:dyDescent="0.2">
      <c r="A95" s="180"/>
      <c r="B95" s="85"/>
      <c r="C95" s="85"/>
      <c r="D95" s="86"/>
      <c r="E95" s="82"/>
      <c r="F95" s="82"/>
      <c r="G95" s="82"/>
      <c r="H95" s="82"/>
      <c r="I95" s="17" t="s">
        <v>654</v>
      </c>
      <c r="K95" s="82"/>
      <c r="L95" s="17" t="s">
        <v>654</v>
      </c>
      <c r="N95" s="82"/>
      <c r="O95" s="17" t="s">
        <v>654</v>
      </c>
      <c r="Q95" s="81"/>
      <c r="R95" s="81"/>
      <c r="S95" s="81"/>
      <c r="T95" s="79"/>
      <c r="U95" s="79"/>
      <c r="V95" s="79"/>
      <c r="W95" s="79"/>
      <c r="X95" s="79"/>
      <c r="Y95" s="79"/>
      <c r="Z95" s="79"/>
      <c r="AA95" s="79"/>
      <c r="AB95" s="79"/>
      <c r="AC95" s="79"/>
      <c r="AD95" s="79"/>
      <c r="AE95" s="79"/>
    </row>
    <row r="96" spans="1:31" s="84" customFormat="1" x14ac:dyDescent="0.2">
      <c r="A96" s="180"/>
      <c r="B96" s="85"/>
      <c r="C96" s="85"/>
      <c r="D96" s="86"/>
      <c r="E96" s="82"/>
      <c r="F96" s="82"/>
      <c r="G96" s="82"/>
      <c r="H96" s="82"/>
      <c r="I96" s="17" t="s">
        <v>655</v>
      </c>
      <c r="K96" s="82"/>
      <c r="L96" s="17" t="s">
        <v>655</v>
      </c>
      <c r="N96" s="82"/>
      <c r="O96" s="17" t="s">
        <v>655</v>
      </c>
      <c r="Q96" s="81"/>
      <c r="R96" s="81"/>
      <c r="S96" s="81"/>
      <c r="T96" s="79"/>
      <c r="U96" s="79"/>
      <c r="V96" s="79"/>
      <c r="W96" s="79"/>
      <c r="X96" s="79"/>
      <c r="Y96" s="79"/>
      <c r="Z96" s="79"/>
      <c r="AA96" s="79"/>
      <c r="AB96" s="79"/>
      <c r="AC96" s="79"/>
      <c r="AD96" s="79"/>
      <c r="AE96" s="79"/>
    </row>
    <row r="97" spans="1:31" s="84" customFormat="1" x14ac:dyDescent="0.2">
      <c r="A97" s="180"/>
      <c r="B97" s="85"/>
      <c r="C97" s="85"/>
      <c r="D97" s="86"/>
      <c r="E97" s="82"/>
      <c r="F97" s="82"/>
      <c r="G97" s="82"/>
      <c r="H97" s="82"/>
      <c r="I97" s="17" t="s">
        <v>652</v>
      </c>
      <c r="K97" s="82"/>
      <c r="L97" s="17" t="s">
        <v>652</v>
      </c>
      <c r="N97" s="82"/>
      <c r="O97" s="17" t="s">
        <v>652</v>
      </c>
      <c r="Q97" s="81"/>
      <c r="R97" s="81"/>
      <c r="S97" s="81"/>
      <c r="T97" s="79"/>
      <c r="U97" s="79"/>
      <c r="V97" s="79"/>
      <c r="W97" s="79"/>
      <c r="X97" s="79"/>
      <c r="Y97" s="79"/>
      <c r="Z97" s="79"/>
      <c r="AA97" s="79"/>
      <c r="AB97" s="79"/>
      <c r="AC97" s="79"/>
      <c r="AD97" s="79"/>
      <c r="AE97" s="79"/>
    </row>
    <row r="98" spans="1:31" s="84" customFormat="1" x14ac:dyDescent="0.2">
      <c r="A98" s="180"/>
      <c r="B98" s="85"/>
      <c r="C98" s="85"/>
      <c r="D98" s="86"/>
      <c r="E98" s="82"/>
      <c r="F98" s="82"/>
      <c r="G98" s="82"/>
      <c r="H98" s="82"/>
      <c r="I98" s="17" t="s">
        <v>651</v>
      </c>
      <c r="K98" s="82"/>
      <c r="L98" s="17" t="s">
        <v>651</v>
      </c>
      <c r="N98" s="82"/>
      <c r="O98" s="17" t="s">
        <v>651</v>
      </c>
      <c r="Q98" s="81"/>
      <c r="R98" s="81"/>
      <c r="S98" s="81"/>
      <c r="T98" s="79"/>
      <c r="U98" s="79"/>
      <c r="V98" s="79"/>
      <c r="W98" s="79"/>
      <c r="X98" s="79"/>
      <c r="Y98" s="79"/>
      <c r="Z98" s="79"/>
      <c r="AA98" s="79"/>
      <c r="AB98" s="79"/>
      <c r="AC98" s="79"/>
      <c r="AD98" s="79"/>
      <c r="AE98" s="79"/>
    </row>
    <row r="99" spans="1:31" s="84" customFormat="1" x14ac:dyDescent="0.2">
      <c r="A99" s="180"/>
      <c r="B99" s="85"/>
      <c r="C99" s="85"/>
      <c r="D99" s="86"/>
      <c r="E99" s="82"/>
      <c r="F99" s="82"/>
      <c r="G99" s="82"/>
      <c r="H99" s="82"/>
      <c r="I99" s="17" t="s">
        <v>650</v>
      </c>
      <c r="K99" s="82"/>
      <c r="L99" s="17" t="s">
        <v>650</v>
      </c>
      <c r="N99" s="82"/>
      <c r="O99" s="17" t="s">
        <v>650</v>
      </c>
      <c r="Q99" s="81"/>
      <c r="R99" s="81"/>
      <c r="S99" s="81"/>
      <c r="T99" s="79"/>
      <c r="U99" s="79"/>
      <c r="V99" s="79"/>
      <c r="W99" s="79"/>
      <c r="X99" s="79"/>
      <c r="Y99" s="79"/>
      <c r="Z99" s="79"/>
      <c r="AA99" s="79"/>
      <c r="AB99" s="79"/>
      <c r="AC99" s="79"/>
      <c r="AD99" s="79"/>
      <c r="AE99" s="79"/>
    </row>
    <row r="100" spans="1:31" s="84" customFormat="1" x14ac:dyDescent="0.2">
      <c r="A100" s="180"/>
      <c r="B100" s="85"/>
      <c r="C100" s="85"/>
      <c r="D100" s="86"/>
      <c r="E100" s="82"/>
      <c r="F100" s="82"/>
      <c r="G100" s="82"/>
      <c r="H100" s="82"/>
      <c r="I100" s="17" t="s">
        <v>649</v>
      </c>
      <c r="K100" s="82"/>
      <c r="L100" s="17" t="s">
        <v>649</v>
      </c>
      <c r="N100" s="82"/>
      <c r="O100" s="17" t="s">
        <v>649</v>
      </c>
      <c r="Q100" s="81"/>
      <c r="R100" s="81"/>
      <c r="S100" s="81"/>
      <c r="T100" s="79"/>
      <c r="U100" s="79"/>
      <c r="V100" s="79"/>
      <c r="W100" s="79"/>
      <c r="X100" s="79"/>
      <c r="Y100" s="79"/>
      <c r="Z100" s="79"/>
      <c r="AA100" s="79"/>
      <c r="AB100" s="79"/>
      <c r="AC100" s="79"/>
      <c r="AD100" s="79"/>
      <c r="AE100" s="79"/>
    </row>
    <row r="101" spans="1:31" s="84" customFormat="1" x14ac:dyDescent="0.2">
      <c r="A101" s="180"/>
      <c r="B101" s="85"/>
      <c r="C101" s="85"/>
      <c r="D101" s="86"/>
      <c r="E101" s="82"/>
      <c r="F101" s="82"/>
      <c r="G101" s="82"/>
      <c r="H101" s="82"/>
      <c r="I101" s="17" t="s">
        <v>725</v>
      </c>
      <c r="K101" s="82"/>
      <c r="L101" s="17" t="s">
        <v>725</v>
      </c>
      <c r="N101" s="82"/>
      <c r="O101" s="17" t="s">
        <v>725</v>
      </c>
      <c r="Q101" s="81"/>
      <c r="R101" s="81"/>
      <c r="S101" s="81"/>
      <c r="T101" s="79"/>
      <c r="U101" s="79"/>
      <c r="V101" s="79"/>
      <c r="W101" s="79"/>
      <c r="X101" s="79"/>
      <c r="Y101" s="79"/>
      <c r="Z101" s="79"/>
      <c r="AA101" s="79"/>
      <c r="AB101" s="79"/>
      <c r="AC101" s="79"/>
      <c r="AD101" s="79"/>
      <c r="AE101" s="79"/>
    </row>
    <row r="102" spans="1:31" s="84" customFormat="1" x14ac:dyDescent="0.2">
      <c r="A102" s="180"/>
      <c r="B102" s="85"/>
      <c r="C102" s="85"/>
      <c r="D102" s="86"/>
      <c r="E102" s="82"/>
      <c r="F102" s="82"/>
      <c r="G102" s="82"/>
      <c r="H102" s="82"/>
      <c r="I102" s="17" t="s">
        <v>724</v>
      </c>
      <c r="K102" s="82"/>
      <c r="L102" s="17" t="s">
        <v>724</v>
      </c>
      <c r="N102" s="82"/>
      <c r="O102" s="17" t="s">
        <v>724</v>
      </c>
      <c r="Q102" s="81"/>
      <c r="R102" s="81"/>
      <c r="S102" s="81"/>
      <c r="T102" s="79"/>
      <c r="U102" s="79"/>
      <c r="V102" s="79"/>
      <c r="W102" s="79"/>
      <c r="X102" s="79"/>
      <c r="Y102" s="79"/>
      <c r="Z102" s="79"/>
      <c r="AA102" s="79"/>
      <c r="AB102" s="79"/>
      <c r="AC102" s="79"/>
      <c r="AD102" s="79"/>
      <c r="AE102" s="79"/>
    </row>
    <row r="103" spans="1:31" s="84" customFormat="1" x14ac:dyDescent="0.2">
      <c r="A103" s="180"/>
      <c r="B103" s="85"/>
      <c r="C103" s="85"/>
      <c r="D103" s="86"/>
      <c r="E103" s="82"/>
      <c r="F103" s="82"/>
      <c r="G103" s="82"/>
      <c r="H103" s="82"/>
      <c r="I103" s="60" t="s">
        <v>723</v>
      </c>
      <c r="K103" s="82"/>
      <c r="L103" s="60" t="s">
        <v>723</v>
      </c>
      <c r="N103" s="82"/>
      <c r="O103" s="17" t="s">
        <v>723</v>
      </c>
      <c r="Q103" s="81"/>
      <c r="R103" s="81"/>
      <c r="S103" s="81"/>
      <c r="T103" s="79"/>
      <c r="U103" s="79"/>
      <c r="V103" s="79"/>
      <c r="W103" s="79"/>
      <c r="X103" s="79"/>
      <c r="Y103" s="79"/>
      <c r="Z103" s="79"/>
      <c r="AA103" s="79"/>
      <c r="AB103" s="79"/>
      <c r="AC103" s="79"/>
      <c r="AD103" s="79"/>
      <c r="AE103" s="79"/>
    </row>
    <row r="104" spans="1:31" s="84" customFormat="1" x14ac:dyDescent="0.2">
      <c r="A104" s="181"/>
      <c r="B104" s="85"/>
      <c r="C104" s="85"/>
      <c r="D104" s="86"/>
      <c r="E104" s="82"/>
      <c r="F104" s="82"/>
      <c r="G104" s="82"/>
      <c r="H104" s="82"/>
      <c r="I104" s="60" t="s">
        <v>722</v>
      </c>
      <c r="K104" s="82"/>
      <c r="L104" s="60" t="s">
        <v>722</v>
      </c>
      <c r="N104" s="82"/>
      <c r="O104" s="17" t="s">
        <v>722</v>
      </c>
      <c r="Q104" s="81"/>
      <c r="R104" s="81"/>
      <c r="S104" s="81"/>
      <c r="T104" s="79"/>
      <c r="U104" s="79"/>
      <c r="V104" s="79"/>
      <c r="W104" s="79"/>
      <c r="X104" s="79"/>
      <c r="Y104" s="79"/>
      <c r="Z104" s="79"/>
      <c r="AA104" s="79"/>
      <c r="AB104" s="79"/>
      <c r="AC104" s="79"/>
      <c r="AD104" s="79"/>
      <c r="AE104" s="79"/>
    </row>
    <row r="105" spans="1:31" s="84" customFormat="1" x14ac:dyDescent="0.2">
      <c r="A105" s="85"/>
      <c r="B105" s="85"/>
      <c r="C105" s="85"/>
      <c r="D105" s="86"/>
      <c r="E105" s="82"/>
      <c r="F105" s="82"/>
      <c r="G105" s="82"/>
      <c r="H105" s="82"/>
      <c r="I105" s="17" t="s">
        <v>721</v>
      </c>
      <c r="K105" s="82"/>
      <c r="L105" s="17" t="s">
        <v>721</v>
      </c>
      <c r="N105" s="82"/>
      <c r="O105" s="17" t="s">
        <v>721</v>
      </c>
      <c r="Q105" s="81"/>
      <c r="R105" s="81"/>
      <c r="S105" s="81"/>
      <c r="T105" s="79"/>
      <c r="U105" s="79"/>
      <c r="V105" s="79"/>
      <c r="W105" s="79"/>
      <c r="X105" s="79"/>
      <c r="Y105" s="79"/>
      <c r="Z105" s="79"/>
      <c r="AA105" s="79"/>
      <c r="AB105" s="79"/>
      <c r="AC105" s="79"/>
      <c r="AD105" s="79"/>
      <c r="AE105" s="79"/>
    </row>
    <row r="106" spans="1:31" s="84" customFormat="1" x14ac:dyDescent="0.2">
      <c r="A106" s="85"/>
      <c r="B106" s="85"/>
      <c r="C106" s="85"/>
      <c r="D106" s="86"/>
      <c r="E106" s="82"/>
      <c r="F106" s="82"/>
      <c r="G106" s="82"/>
      <c r="H106" s="82"/>
      <c r="I106" s="17" t="s">
        <v>720</v>
      </c>
      <c r="K106" s="82"/>
      <c r="L106" s="17" t="s">
        <v>720</v>
      </c>
      <c r="N106" s="82"/>
      <c r="O106" s="17" t="s">
        <v>720</v>
      </c>
      <c r="Q106" s="81"/>
      <c r="R106" s="81"/>
      <c r="S106" s="81"/>
      <c r="T106" s="79"/>
      <c r="U106" s="79"/>
      <c r="V106" s="79"/>
      <c r="W106" s="79"/>
      <c r="X106" s="79"/>
      <c r="Y106" s="79"/>
      <c r="Z106" s="79"/>
      <c r="AA106" s="79"/>
      <c r="AB106" s="79"/>
      <c r="AC106" s="79"/>
      <c r="AD106" s="79"/>
      <c r="AE106" s="79"/>
    </row>
    <row r="107" spans="1:31" s="84" customFormat="1" x14ac:dyDescent="0.2">
      <c r="A107" s="85"/>
      <c r="B107" s="85"/>
      <c r="C107" s="85"/>
      <c r="D107" s="86"/>
      <c r="E107" s="82"/>
      <c r="F107" s="82"/>
      <c r="G107" s="82"/>
      <c r="H107" s="82"/>
      <c r="I107" s="82"/>
      <c r="K107" s="82"/>
      <c r="L107" s="82"/>
      <c r="N107" s="82"/>
      <c r="O107" s="82"/>
      <c r="Q107" s="81"/>
      <c r="R107" s="81"/>
      <c r="S107" s="81"/>
      <c r="T107" s="79"/>
      <c r="U107" s="79"/>
      <c r="V107" s="79"/>
      <c r="W107" s="79"/>
      <c r="X107" s="79"/>
      <c r="Y107" s="79"/>
      <c r="Z107" s="79"/>
      <c r="AA107" s="79"/>
      <c r="AB107" s="79"/>
      <c r="AC107" s="79"/>
      <c r="AD107" s="79"/>
      <c r="AE107" s="79"/>
    </row>
    <row r="108" spans="1:31" s="84" customFormat="1" x14ac:dyDescent="0.2">
      <c r="A108" s="85"/>
      <c r="B108" s="85"/>
      <c r="C108" s="85"/>
      <c r="D108" s="86"/>
      <c r="E108" s="82"/>
      <c r="F108" s="82"/>
      <c r="G108" s="82"/>
      <c r="H108" s="82"/>
      <c r="I108" s="82"/>
      <c r="K108" s="82"/>
      <c r="L108" s="82"/>
      <c r="N108" s="82"/>
      <c r="O108" s="82"/>
      <c r="Q108" s="81"/>
      <c r="R108" s="81"/>
      <c r="S108" s="81"/>
      <c r="T108" s="79"/>
      <c r="U108" s="79"/>
      <c r="V108" s="79"/>
      <c r="W108" s="79"/>
      <c r="X108" s="79"/>
      <c r="Y108" s="79"/>
      <c r="Z108" s="79"/>
      <c r="AA108" s="79"/>
      <c r="AB108" s="79"/>
      <c r="AC108" s="79"/>
      <c r="AD108" s="79"/>
      <c r="AE108" s="79"/>
    </row>
    <row r="109" spans="1:31" s="84" customFormat="1" x14ac:dyDescent="0.2">
      <c r="A109" s="85"/>
      <c r="B109" s="85"/>
      <c r="C109" s="85"/>
      <c r="D109" s="86"/>
      <c r="E109" s="82"/>
      <c r="F109" s="82"/>
      <c r="G109" s="82"/>
      <c r="H109" s="82"/>
      <c r="I109" s="82"/>
      <c r="K109" s="82"/>
      <c r="L109" s="82"/>
      <c r="N109" s="82"/>
      <c r="O109" s="82"/>
      <c r="Q109" s="81"/>
      <c r="R109" s="81"/>
      <c r="S109" s="81"/>
      <c r="T109" s="79"/>
      <c r="U109" s="79"/>
      <c r="V109" s="79"/>
      <c r="W109" s="79"/>
      <c r="X109" s="79"/>
      <c r="Y109" s="79"/>
      <c r="Z109" s="79"/>
      <c r="AA109" s="79"/>
      <c r="AB109" s="79"/>
      <c r="AC109" s="79"/>
      <c r="AD109" s="79"/>
      <c r="AE109" s="79"/>
    </row>
    <row r="110" spans="1:31" s="85" customFormat="1" x14ac:dyDescent="0.2">
      <c r="D110" s="86"/>
      <c r="E110" s="82"/>
      <c r="F110" s="82"/>
      <c r="G110" s="82"/>
      <c r="H110" s="82"/>
      <c r="I110" s="82"/>
      <c r="J110" s="84"/>
      <c r="K110" s="82"/>
      <c r="L110" s="82"/>
      <c r="M110" s="84"/>
      <c r="N110" s="82"/>
      <c r="O110" s="82"/>
      <c r="P110" s="84"/>
      <c r="Q110" s="81"/>
      <c r="R110" s="81"/>
      <c r="S110" s="81"/>
      <c r="T110" s="79"/>
      <c r="U110" s="79"/>
      <c r="V110" s="79"/>
      <c r="W110" s="79"/>
      <c r="X110" s="79"/>
      <c r="Y110" s="79"/>
      <c r="Z110" s="79"/>
      <c r="AA110" s="79"/>
      <c r="AB110" s="79"/>
      <c r="AC110" s="79"/>
      <c r="AD110" s="79"/>
      <c r="AE110" s="79"/>
    </row>
    <row r="111" spans="1:31" s="85" customFormat="1" x14ac:dyDescent="0.2">
      <c r="D111" s="86"/>
      <c r="E111" s="82"/>
      <c r="F111" s="82"/>
      <c r="G111" s="82"/>
      <c r="H111" s="82"/>
      <c r="I111" s="82"/>
      <c r="J111" s="84"/>
      <c r="K111" s="82"/>
      <c r="L111" s="82"/>
      <c r="M111" s="84"/>
      <c r="N111" s="82"/>
      <c r="O111" s="82"/>
      <c r="P111" s="84"/>
      <c r="Q111" s="81"/>
      <c r="R111" s="81"/>
      <c r="S111" s="81"/>
      <c r="T111" s="79"/>
      <c r="U111" s="79"/>
      <c r="V111" s="79"/>
      <c r="W111" s="79"/>
      <c r="X111" s="79"/>
      <c r="Y111" s="79"/>
      <c r="Z111" s="79"/>
      <c r="AA111" s="79"/>
      <c r="AB111" s="79"/>
      <c r="AC111" s="79"/>
      <c r="AD111" s="79"/>
      <c r="AE111" s="79"/>
    </row>
    <row r="112" spans="1:31" s="85" customFormat="1" x14ac:dyDescent="0.2">
      <c r="D112" s="86"/>
      <c r="E112" s="82"/>
      <c r="F112" s="82"/>
      <c r="G112" s="82"/>
      <c r="H112" s="82"/>
      <c r="I112" s="82"/>
      <c r="J112" s="84"/>
      <c r="K112" s="82"/>
      <c r="L112" s="82"/>
      <c r="M112" s="84"/>
      <c r="N112" s="82"/>
      <c r="O112" s="82"/>
      <c r="P112" s="84"/>
      <c r="Q112" s="81"/>
      <c r="R112" s="81"/>
      <c r="S112" s="81"/>
      <c r="T112" s="79"/>
      <c r="U112" s="79"/>
      <c r="V112" s="79"/>
      <c r="W112" s="79"/>
      <c r="X112" s="79"/>
      <c r="Y112" s="79"/>
      <c r="Z112" s="79"/>
      <c r="AA112" s="79"/>
      <c r="AB112" s="79"/>
      <c r="AC112" s="79"/>
      <c r="AD112" s="79"/>
      <c r="AE112" s="79"/>
    </row>
    <row r="113" spans="4:31" s="85" customFormat="1" x14ac:dyDescent="0.2">
      <c r="D113" s="86"/>
      <c r="E113" s="82"/>
      <c r="F113" s="82"/>
      <c r="G113" s="82"/>
      <c r="H113" s="82"/>
      <c r="I113" s="82"/>
      <c r="J113" s="84"/>
      <c r="K113" s="82"/>
      <c r="L113" s="82"/>
      <c r="M113" s="84"/>
      <c r="N113" s="82"/>
      <c r="O113" s="82"/>
      <c r="P113" s="84"/>
      <c r="Q113" s="81"/>
      <c r="R113" s="81"/>
      <c r="S113" s="81"/>
      <c r="T113" s="79"/>
      <c r="U113" s="79"/>
      <c r="V113" s="79"/>
      <c r="W113" s="79"/>
      <c r="X113" s="79"/>
      <c r="Y113" s="79"/>
      <c r="Z113" s="79"/>
      <c r="AA113" s="79"/>
      <c r="AB113" s="79"/>
      <c r="AC113" s="79"/>
      <c r="AD113" s="79"/>
      <c r="AE113" s="79"/>
    </row>
    <row r="114" spans="4:31" s="85" customFormat="1" x14ac:dyDescent="0.2">
      <c r="D114" s="86"/>
      <c r="E114" s="82"/>
      <c r="F114" s="82"/>
      <c r="G114" s="82"/>
      <c r="H114" s="82"/>
      <c r="I114" s="82"/>
      <c r="J114" s="84"/>
      <c r="K114" s="82"/>
      <c r="L114" s="82"/>
      <c r="M114" s="84"/>
      <c r="N114" s="82"/>
      <c r="O114" s="82"/>
      <c r="P114" s="84"/>
      <c r="Q114" s="81"/>
      <c r="R114" s="81"/>
      <c r="S114" s="81"/>
      <c r="T114" s="79"/>
      <c r="U114" s="79"/>
      <c r="V114" s="79"/>
      <c r="W114" s="79"/>
      <c r="X114" s="79"/>
      <c r="Y114" s="79"/>
      <c r="Z114" s="79"/>
      <c r="AA114" s="79"/>
      <c r="AB114" s="79"/>
      <c r="AC114" s="79"/>
      <c r="AD114" s="79"/>
      <c r="AE114" s="79"/>
    </row>
    <row r="115" spans="4:31" s="85" customFormat="1" x14ac:dyDescent="0.2">
      <c r="D115" s="86"/>
      <c r="E115" s="82"/>
      <c r="F115" s="82"/>
      <c r="G115" s="82"/>
      <c r="H115" s="82"/>
      <c r="I115" s="82"/>
      <c r="J115" s="84"/>
      <c r="K115" s="82"/>
      <c r="L115" s="82"/>
      <c r="M115" s="84"/>
      <c r="N115" s="82"/>
      <c r="O115" s="82"/>
      <c r="P115" s="84"/>
      <c r="Q115" s="81"/>
      <c r="R115" s="81"/>
      <c r="S115" s="81"/>
      <c r="T115" s="79"/>
      <c r="U115" s="79"/>
      <c r="V115" s="79"/>
      <c r="W115" s="79"/>
      <c r="X115" s="79"/>
      <c r="Y115" s="79"/>
      <c r="Z115" s="79"/>
      <c r="AA115" s="79"/>
      <c r="AB115" s="79"/>
      <c r="AC115" s="79"/>
      <c r="AD115" s="79"/>
      <c r="AE115" s="79"/>
    </row>
    <row r="116" spans="4:31" s="85" customFormat="1" x14ac:dyDescent="0.2">
      <c r="D116" s="86"/>
      <c r="E116" s="82"/>
      <c r="F116" s="82"/>
      <c r="G116" s="82"/>
      <c r="H116" s="82"/>
      <c r="I116" s="82"/>
      <c r="J116" s="84"/>
      <c r="K116" s="82"/>
      <c r="L116" s="82"/>
      <c r="M116" s="84"/>
      <c r="N116" s="82"/>
      <c r="O116" s="82"/>
      <c r="P116" s="84"/>
      <c r="Q116" s="81"/>
      <c r="R116" s="81"/>
      <c r="S116" s="81"/>
      <c r="T116" s="79"/>
      <c r="U116" s="79"/>
      <c r="V116" s="79"/>
      <c r="W116" s="79"/>
      <c r="X116" s="79"/>
      <c r="Y116" s="79"/>
      <c r="Z116" s="79"/>
      <c r="AA116" s="79"/>
      <c r="AB116" s="79"/>
      <c r="AC116" s="79"/>
      <c r="AD116" s="79"/>
      <c r="AE116" s="79"/>
    </row>
    <row r="117" spans="4:31" s="85" customFormat="1" x14ac:dyDescent="0.2">
      <c r="D117" s="86"/>
      <c r="E117" s="82"/>
      <c r="F117" s="82"/>
      <c r="G117" s="82"/>
      <c r="H117" s="82"/>
      <c r="I117" s="82"/>
      <c r="J117" s="84"/>
      <c r="K117" s="82"/>
      <c r="L117" s="82"/>
      <c r="M117" s="84"/>
      <c r="N117" s="82"/>
      <c r="O117" s="82"/>
      <c r="P117" s="84"/>
      <c r="Q117" s="81"/>
      <c r="R117" s="81"/>
      <c r="S117" s="81"/>
      <c r="T117" s="79"/>
      <c r="U117" s="79"/>
      <c r="V117" s="79"/>
      <c r="W117" s="79"/>
      <c r="X117" s="79"/>
      <c r="Y117" s="79"/>
      <c r="Z117" s="79"/>
      <c r="AA117" s="79"/>
      <c r="AB117" s="79"/>
      <c r="AC117" s="79"/>
      <c r="AD117" s="79"/>
      <c r="AE117" s="79"/>
    </row>
    <row r="118" spans="4:31" s="85" customFormat="1" x14ac:dyDescent="0.2">
      <c r="D118" s="86"/>
      <c r="E118" s="82"/>
      <c r="F118" s="82"/>
      <c r="G118" s="82"/>
      <c r="H118" s="82"/>
      <c r="I118" s="82"/>
      <c r="J118" s="84"/>
      <c r="K118" s="82"/>
      <c r="L118" s="82"/>
      <c r="M118" s="84"/>
      <c r="N118" s="82"/>
      <c r="O118" s="82"/>
      <c r="P118" s="84"/>
      <c r="Q118" s="81"/>
      <c r="R118" s="81"/>
      <c r="S118" s="81"/>
      <c r="T118" s="79"/>
      <c r="U118" s="79"/>
      <c r="V118" s="79"/>
      <c r="W118" s="79"/>
      <c r="X118" s="79"/>
      <c r="Y118" s="79"/>
      <c r="Z118" s="79"/>
      <c r="AA118" s="79"/>
      <c r="AB118" s="79"/>
      <c r="AC118" s="79"/>
      <c r="AD118" s="79"/>
      <c r="AE118" s="79"/>
    </row>
    <row r="119" spans="4:31" s="85" customFormat="1" x14ac:dyDescent="0.2">
      <c r="D119" s="86"/>
      <c r="E119" s="82"/>
      <c r="F119" s="82"/>
      <c r="G119" s="82"/>
      <c r="H119" s="82"/>
      <c r="I119" s="82"/>
      <c r="J119" s="84"/>
      <c r="K119" s="82"/>
      <c r="L119" s="82"/>
      <c r="M119" s="84"/>
      <c r="N119" s="82"/>
      <c r="O119" s="82"/>
      <c r="P119" s="84"/>
      <c r="Q119" s="81"/>
      <c r="R119" s="81"/>
      <c r="S119" s="81"/>
      <c r="T119" s="79"/>
      <c r="U119" s="79"/>
      <c r="V119" s="79"/>
      <c r="W119" s="79"/>
      <c r="X119" s="79"/>
      <c r="Y119" s="79"/>
      <c r="Z119" s="79"/>
      <c r="AA119" s="79"/>
      <c r="AB119" s="79"/>
      <c r="AC119" s="79"/>
      <c r="AD119" s="79"/>
      <c r="AE119" s="79"/>
    </row>
    <row r="120" spans="4:31" s="85" customFormat="1" x14ac:dyDescent="0.2">
      <c r="D120" s="86"/>
      <c r="E120" s="82"/>
      <c r="F120" s="82"/>
      <c r="G120" s="82"/>
      <c r="H120" s="82"/>
      <c r="I120" s="82"/>
      <c r="J120" s="84"/>
      <c r="K120" s="82"/>
      <c r="L120" s="82"/>
      <c r="M120" s="84"/>
      <c r="N120" s="82"/>
      <c r="O120" s="82"/>
      <c r="P120" s="84"/>
      <c r="Q120" s="81"/>
      <c r="R120" s="81"/>
      <c r="S120" s="81"/>
      <c r="T120" s="79"/>
      <c r="U120" s="79"/>
      <c r="V120" s="79"/>
      <c r="W120" s="79"/>
      <c r="X120" s="79"/>
      <c r="Y120" s="79"/>
      <c r="Z120" s="79"/>
      <c r="AA120" s="79"/>
      <c r="AB120" s="79"/>
      <c r="AC120" s="79"/>
      <c r="AD120" s="79"/>
      <c r="AE120" s="79"/>
    </row>
    <row r="121" spans="4:31" s="85" customFormat="1" x14ac:dyDescent="0.2">
      <c r="D121" s="86"/>
      <c r="E121" s="82"/>
      <c r="F121" s="82"/>
      <c r="G121" s="82"/>
      <c r="H121" s="82"/>
      <c r="I121" s="82"/>
      <c r="J121" s="84"/>
      <c r="K121" s="82"/>
      <c r="L121" s="82"/>
      <c r="M121" s="84"/>
      <c r="N121" s="82"/>
      <c r="O121" s="82"/>
      <c r="P121" s="84"/>
      <c r="Q121" s="81"/>
      <c r="R121" s="81"/>
      <c r="S121" s="81"/>
      <c r="T121" s="79"/>
      <c r="U121" s="79"/>
      <c r="V121" s="79"/>
      <c r="W121" s="79"/>
      <c r="X121" s="79"/>
      <c r="Y121" s="79"/>
      <c r="Z121" s="79"/>
      <c r="AA121" s="79"/>
      <c r="AB121" s="79"/>
      <c r="AC121" s="79"/>
      <c r="AD121" s="79"/>
      <c r="AE121" s="79"/>
    </row>
    <row r="122" spans="4:31" s="85" customFormat="1" x14ac:dyDescent="0.2">
      <c r="D122" s="86"/>
      <c r="E122" s="82"/>
      <c r="F122" s="82"/>
      <c r="G122" s="82"/>
      <c r="H122" s="82"/>
      <c r="I122" s="82"/>
      <c r="J122" s="84"/>
      <c r="K122" s="82"/>
      <c r="L122" s="82"/>
      <c r="M122" s="84"/>
      <c r="N122" s="82"/>
      <c r="O122" s="82"/>
      <c r="P122" s="84"/>
      <c r="Q122" s="81"/>
      <c r="R122" s="81"/>
      <c r="S122" s="81"/>
      <c r="T122" s="79"/>
      <c r="U122" s="79"/>
      <c r="V122" s="79"/>
      <c r="W122" s="79"/>
      <c r="X122" s="79"/>
      <c r="Y122" s="79"/>
      <c r="Z122" s="79"/>
      <c r="AA122" s="79"/>
      <c r="AB122" s="79"/>
      <c r="AC122" s="79"/>
      <c r="AD122" s="79"/>
      <c r="AE122" s="79"/>
    </row>
    <row r="123" spans="4:31" s="85" customFormat="1" x14ac:dyDescent="0.2">
      <c r="D123" s="86"/>
      <c r="E123" s="82"/>
      <c r="F123" s="82"/>
      <c r="G123" s="82"/>
      <c r="H123" s="82"/>
      <c r="I123" s="82"/>
      <c r="J123" s="84"/>
      <c r="K123" s="82"/>
      <c r="L123" s="82"/>
      <c r="M123" s="84"/>
      <c r="N123" s="82"/>
      <c r="O123" s="82"/>
      <c r="P123" s="84"/>
      <c r="Q123" s="81"/>
      <c r="R123" s="81"/>
      <c r="S123" s="81"/>
      <c r="T123" s="79"/>
      <c r="U123" s="79"/>
      <c r="V123" s="79"/>
      <c r="W123" s="79"/>
      <c r="X123" s="79"/>
      <c r="Y123" s="79"/>
      <c r="Z123" s="79"/>
      <c r="AA123" s="79"/>
      <c r="AB123" s="79"/>
      <c r="AC123" s="79"/>
      <c r="AD123" s="79"/>
      <c r="AE123" s="79"/>
    </row>
    <row r="124" spans="4:31" s="85" customFormat="1" x14ac:dyDescent="0.2">
      <c r="D124" s="86"/>
      <c r="E124" s="82"/>
      <c r="F124" s="82"/>
      <c r="G124" s="82"/>
      <c r="H124" s="82"/>
      <c r="I124" s="82"/>
      <c r="J124" s="84"/>
      <c r="K124" s="82"/>
      <c r="L124" s="82"/>
      <c r="M124" s="84"/>
      <c r="N124" s="82"/>
      <c r="O124" s="82"/>
      <c r="P124" s="84"/>
      <c r="Q124" s="81"/>
      <c r="R124" s="81"/>
      <c r="S124" s="81"/>
      <c r="T124" s="79"/>
      <c r="U124" s="79"/>
      <c r="V124" s="79"/>
      <c r="W124" s="79"/>
      <c r="X124" s="79"/>
      <c r="Y124" s="79"/>
      <c r="Z124" s="79"/>
      <c r="AA124" s="79"/>
      <c r="AB124" s="79"/>
      <c r="AC124" s="79"/>
      <c r="AD124" s="79"/>
      <c r="AE124" s="79"/>
    </row>
    <row r="125" spans="4:31" s="85" customFormat="1" x14ac:dyDescent="0.2">
      <c r="D125" s="86"/>
      <c r="E125" s="82"/>
      <c r="F125" s="82"/>
      <c r="G125" s="82"/>
      <c r="H125" s="82"/>
      <c r="I125" s="82"/>
      <c r="J125" s="84"/>
      <c r="K125" s="82"/>
      <c r="L125" s="82"/>
      <c r="M125" s="84"/>
      <c r="N125" s="82"/>
      <c r="O125" s="82"/>
      <c r="P125" s="84"/>
      <c r="Q125" s="81"/>
      <c r="R125" s="81"/>
      <c r="S125" s="81"/>
      <c r="T125" s="79"/>
      <c r="U125" s="79"/>
      <c r="V125" s="79"/>
      <c r="W125" s="79"/>
      <c r="X125" s="79"/>
      <c r="Y125" s="79"/>
      <c r="Z125" s="79"/>
      <c r="AA125" s="79"/>
      <c r="AB125" s="79"/>
      <c r="AC125" s="79"/>
      <c r="AD125" s="79"/>
      <c r="AE125" s="79"/>
    </row>
    <row r="126" spans="4:31" s="85" customFormat="1" x14ac:dyDescent="0.2">
      <c r="D126" s="86"/>
      <c r="E126" s="82"/>
      <c r="F126" s="82"/>
      <c r="G126" s="82"/>
      <c r="H126" s="82"/>
      <c r="I126" s="82"/>
      <c r="J126" s="84"/>
      <c r="K126" s="82"/>
      <c r="L126" s="82"/>
      <c r="M126" s="84"/>
      <c r="N126" s="82"/>
      <c r="O126" s="82"/>
      <c r="P126" s="84"/>
      <c r="Q126" s="81"/>
      <c r="R126" s="81"/>
      <c r="S126" s="81"/>
      <c r="T126" s="79"/>
      <c r="U126" s="79"/>
      <c r="V126" s="79"/>
      <c r="W126" s="79"/>
      <c r="X126" s="79"/>
      <c r="Y126" s="79"/>
      <c r="Z126" s="79"/>
      <c r="AA126" s="79"/>
      <c r="AB126" s="79"/>
      <c r="AC126" s="79"/>
      <c r="AD126" s="79"/>
      <c r="AE126" s="79"/>
    </row>
    <row r="127" spans="4:31" s="85" customFormat="1" x14ac:dyDescent="0.2">
      <c r="D127" s="86"/>
      <c r="E127" s="82"/>
      <c r="F127" s="82"/>
      <c r="G127" s="82"/>
      <c r="H127" s="82"/>
      <c r="I127" s="82"/>
      <c r="J127" s="84"/>
      <c r="K127" s="82"/>
      <c r="L127" s="82"/>
      <c r="M127" s="84"/>
      <c r="N127" s="82"/>
      <c r="O127" s="82"/>
      <c r="P127" s="84"/>
      <c r="Q127" s="81"/>
      <c r="R127" s="81"/>
      <c r="S127" s="81"/>
      <c r="T127" s="79"/>
      <c r="U127" s="79"/>
      <c r="V127" s="79"/>
      <c r="W127" s="79"/>
      <c r="X127" s="79"/>
      <c r="Y127" s="79"/>
      <c r="Z127" s="79"/>
      <c r="AA127" s="79"/>
      <c r="AB127" s="79"/>
      <c r="AC127" s="79"/>
      <c r="AD127" s="79"/>
      <c r="AE127" s="79"/>
    </row>
    <row r="128" spans="4:31" s="85" customFormat="1" x14ac:dyDescent="0.2">
      <c r="D128" s="86"/>
      <c r="E128" s="82"/>
      <c r="F128" s="82"/>
      <c r="G128" s="82"/>
      <c r="H128" s="82"/>
      <c r="I128" s="82"/>
      <c r="J128" s="84"/>
      <c r="K128" s="82"/>
      <c r="L128" s="82"/>
      <c r="M128" s="84"/>
      <c r="N128" s="82"/>
      <c r="O128" s="82"/>
      <c r="P128" s="84"/>
      <c r="Q128" s="81"/>
      <c r="R128" s="81"/>
      <c r="S128" s="81"/>
      <c r="T128" s="79"/>
      <c r="U128" s="79"/>
      <c r="V128" s="79"/>
      <c r="W128" s="79"/>
      <c r="X128" s="79"/>
      <c r="Y128" s="79"/>
      <c r="Z128" s="79"/>
      <c r="AA128" s="79"/>
      <c r="AB128" s="79"/>
      <c r="AC128" s="79"/>
      <c r="AD128" s="79"/>
      <c r="AE128" s="79"/>
    </row>
    <row r="129" spans="4:31" s="85" customFormat="1" x14ac:dyDescent="0.2">
      <c r="D129" s="86"/>
      <c r="E129" s="82"/>
      <c r="F129" s="82"/>
      <c r="G129" s="82"/>
      <c r="H129" s="82"/>
      <c r="I129" s="82"/>
      <c r="J129" s="84"/>
      <c r="K129" s="82"/>
      <c r="L129" s="82"/>
      <c r="M129" s="84"/>
      <c r="N129" s="82"/>
      <c r="O129" s="82"/>
      <c r="P129" s="84"/>
      <c r="Q129" s="81"/>
      <c r="R129" s="81"/>
      <c r="S129" s="81"/>
      <c r="T129" s="79"/>
      <c r="U129" s="79"/>
      <c r="V129" s="79"/>
      <c r="W129" s="79"/>
      <c r="X129" s="79"/>
      <c r="Y129" s="79"/>
      <c r="Z129" s="79"/>
      <c r="AA129" s="79"/>
      <c r="AB129" s="79"/>
      <c r="AC129" s="79"/>
      <c r="AD129" s="79"/>
      <c r="AE129" s="79"/>
    </row>
    <row r="130" spans="4:31" s="85" customFormat="1" x14ac:dyDescent="0.2">
      <c r="D130" s="86"/>
      <c r="E130" s="82"/>
      <c r="F130" s="82"/>
      <c r="G130" s="82"/>
      <c r="H130" s="82"/>
      <c r="I130" s="82"/>
      <c r="J130" s="84"/>
      <c r="K130" s="82"/>
      <c r="L130" s="82"/>
      <c r="M130" s="84"/>
      <c r="N130" s="82"/>
      <c r="O130" s="82"/>
      <c r="P130" s="84"/>
      <c r="Q130" s="81"/>
      <c r="R130" s="81"/>
      <c r="S130" s="81"/>
      <c r="T130" s="79"/>
      <c r="U130" s="79"/>
      <c r="V130" s="79"/>
      <c r="W130" s="79"/>
      <c r="X130" s="79"/>
      <c r="Y130" s="79"/>
      <c r="Z130" s="79"/>
      <c r="AA130" s="79"/>
      <c r="AB130" s="79"/>
      <c r="AC130" s="79"/>
      <c r="AD130" s="79"/>
      <c r="AE130" s="79"/>
    </row>
    <row r="131" spans="4:31" s="85" customFormat="1" x14ac:dyDescent="0.2">
      <c r="D131" s="86"/>
      <c r="E131" s="82"/>
      <c r="F131" s="82"/>
      <c r="G131" s="82"/>
      <c r="H131" s="82"/>
      <c r="I131" s="82"/>
      <c r="J131" s="84"/>
      <c r="K131" s="82"/>
      <c r="L131" s="82"/>
      <c r="M131" s="84"/>
      <c r="N131" s="82"/>
      <c r="O131" s="82"/>
      <c r="P131" s="84"/>
      <c r="Q131" s="81"/>
      <c r="R131" s="81"/>
      <c r="S131" s="81"/>
      <c r="T131" s="79"/>
      <c r="U131" s="79"/>
      <c r="V131" s="79"/>
      <c r="W131" s="79"/>
      <c r="X131" s="79"/>
      <c r="Y131" s="79"/>
      <c r="Z131" s="79"/>
      <c r="AA131" s="79"/>
      <c r="AB131" s="79"/>
      <c r="AC131" s="79"/>
      <c r="AD131" s="79"/>
      <c r="AE131" s="79"/>
    </row>
    <row r="132" spans="4:31" s="85" customFormat="1" x14ac:dyDescent="0.2">
      <c r="D132" s="86"/>
      <c r="E132" s="82"/>
      <c r="F132" s="82"/>
      <c r="G132" s="82"/>
      <c r="H132" s="82"/>
      <c r="I132" s="82"/>
      <c r="J132" s="84"/>
      <c r="K132" s="82"/>
      <c r="L132" s="82"/>
      <c r="M132" s="84"/>
      <c r="N132" s="82"/>
      <c r="O132" s="82"/>
      <c r="P132" s="84"/>
      <c r="Q132" s="81"/>
      <c r="R132" s="81"/>
      <c r="S132" s="81"/>
      <c r="T132" s="79"/>
      <c r="U132" s="79"/>
      <c r="V132" s="79"/>
      <c r="W132" s="79"/>
      <c r="X132" s="79"/>
      <c r="Y132" s="79"/>
      <c r="Z132" s="79"/>
      <c r="AA132" s="79"/>
      <c r="AB132" s="79"/>
      <c r="AC132" s="79"/>
      <c r="AD132" s="79"/>
      <c r="AE132" s="79"/>
    </row>
    <row r="133" spans="4:31" s="85" customFormat="1" x14ac:dyDescent="0.2">
      <c r="D133" s="86"/>
      <c r="E133" s="82"/>
      <c r="F133" s="82"/>
      <c r="G133" s="82"/>
      <c r="H133" s="82"/>
      <c r="I133" s="82"/>
      <c r="J133" s="84"/>
      <c r="K133" s="82"/>
      <c r="L133" s="82"/>
      <c r="M133" s="84"/>
      <c r="N133" s="82"/>
      <c r="O133" s="82"/>
      <c r="P133" s="84"/>
      <c r="Q133" s="81"/>
      <c r="R133" s="81"/>
      <c r="S133" s="81"/>
      <c r="T133" s="79"/>
      <c r="U133" s="79"/>
      <c r="V133" s="79"/>
      <c r="W133" s="79"/>
      <c r="X133" s="79"/>
      <c r="Y133" s="79"/>
      <c r="Z133" s="79"/>
      <c r="AA133" s="79"/>
      <c r="AB133" s="79"/>
      <c r="AC133" s="79"/>
      <c r="AD133" s="79"/>
      <c r="AE133" s="79"/>
    </row>
    <row r="134" spans="4:31" s="85" customFormat="1" x14ac:dyDescent="0.2">
      <c r="D134" s="86"/>
      <c r="E134" s="82"/>
      <c r="F134" s="82"/>
      <c r="G134" s="82"/>
      <c r="H134" s="82"/>
      <c r="I134" s="82"/>
      <c r="J134" s="84"/>
      <c r="K134" s="82"/>
      <c r="L134" s="82"/>
      <c r="M134" s="84"/>
      <c r="N134" s="82"/>
      <c r="O134" s="82"/>
      <c r="P134" s="84"/>
      <c r="Q134" s="81"/>
      <c r="R134" s="81"/>
      <c r="S134" s="81"/>
      <c r="T134" s="79"/>
      <c r="U134" s="79"/>
      <c r="V134" s="79"/>
      <c r="W134" s="79"/>
      <c r="X134" s="79"/>
      <c r="Y134" s="79"/>
      <c r="Z134" s="79"/>
      <c r="AA134" s="79"/>
      <c r="AB134" s="79"/>
      <c r="AC134" s="79"/>
      <c r="AD134" s="79"/>
      <c r="AE134" s="79"/>
    </row>
    <row r="135" spans="4:31" s="85" customFormat="1" x14ac:dyDescent="0.2">
      <c r="D135" s="86"/>
      <c r="E135" s="82"/>
      <c r="F135" s="82"/>
      <c r="G135" s="82"/>
      <c r="H135" s="82"/>
      <c r="I135" s="82"/>
      <c r="J135" s="84"/>
      <c r="K135" s="82"/>
      <c r="L135" s="82"/>
      <c r="M135" s="84"/>
      <c r="N135" s="82"/>
      <c r="O135" s="82"/>
      <c r="P135" s="84"/>
      <c r="Q135" s="81"/>
      <c r="R135" s="81"/>
      <c r="S135" s="81"/>
      <c r="T135" s="79"/>
      <c r="U135" s="79"/>
      <c r="V135" s="79"/>
      <c r="W135" s="79"/>
      <c r="X135" s="79"/>
      <c r="Y135" s="79"/>
      <c r="Z135" s="79"/>
      <c r="AA135" s="79"/>
      <c r="AB135" s="79"/>
      <c r="AC135" s="79"/>
      <c r="AD135" s="79"/>
      <c r="AE135" s="79"/>
    </row>
    <row r="136" spans="4:31" s="85" customFormat="1" x14ac:dyDescent="0.2">
      <c r="D136" s="86"/>
      <c r="E136" s="82"/>
      <c r="F136" s="82"/>
      <c r="G136" s="82"/>
      <c r="H136" s="82"/>
      <c r="I136" s="82"/>
      <c r="J136" s="84"/>
      <c r="K136" s="82"/>
      <c r="L136" s="82"/>
      <c r="M136" s="84"/>
      <c r="N136" s="82"/>
      <c r="O136" s="82"/>
      <c r="P136" s="84"/>
      <c r="Q136" s="81"/>
      <c r="R136" s="81"/>
      <c r="S136" s="81"/>
      <c r="T136" s="79"/>
      <c r="U136" s="79"/>
      <c r="V136" s="79"/>
      <c r="W136" s="79"/>
      <c r="X136" s="79"/>
      <c r="Y136" s="79"/>
      <c r="Z136" s="79"/>
      <c r="AA136" s="79"/>
      <c r="AB136" s="79"/>
      <c r="AC136" s="79"/>
      <c r="AD136" s="79"/>
      <c r="AE136" s="79"/>
    </row>
    <row r="137" spans="4:31" s="85" customFormat="1" x14ac:dyDescent="0.2">
      <c r="D137" s="86"/>
      <c r="E137" s="82"/>
      <c r="F137" s="82"/>
      <c r="G137" s="82"/>
      <c r="H137" s="82"/>
      <c r="I137" s="82"/>
      <c r="J137" s="84"/>
      <c r="K137" s="82"/>
      <c r="L137" s="82"/>
      <c r="M137" s="84"/>
      <c r="N137" s="82"/>
      <c r="O137" s="82"/>
      <c r="P137" s="84"/>
      <c r="Q137" s="81"/>
      <c r="R137" s="81"/>
      <c r="S137" s="81"/>
      <c r="T137" s="79"/>
      <c r="U137" s="79"/>
      <c r="V137" s="79"/>
      <c r="W137" s="79"/>
      <c r="X137" s="79"/>
      <c r="Y137" s="79"/>
      <c r="Z137" s="79"/>
      <c r="AA137" s="79"/>
      <c r="AB137" s="79"/>
      <c r="AC137" s="79"/>
      <c r="AD137" s="79"/>
      <c r="AE137" s="79"/>
    </row>
    <row r="138" spans="4:31" s="85" customFormat="1" x14ac:dyDescent="0.2">
      <c r="D138" s="86"/>
      <c r="E138" s="82"/>
      <c r="F138" s="82"/>
      <c r="G138" s="82"/>
      <c r="H138" s="82"/>
      <c r="I138" s="82"/>
      <c r="J138" s="84"/>
      <c r="K138" s="82"/>
      <c r="L138" s="82"/>
      <c r="M138" s="84"/>
      <c r="N138" s="82"/>
      <c r="O138" s="82"/>
      <c r="P138" s="84"/>
      <c r="Q138" s="81"/>
      <c r="R138" s="81"/>
      <c r="S138" s="81"/>
      <c r="T138" s="79"/>
      <c r="U138" s="79"/>
      <c r="V138" s="79"/>
      <c r="W138" s="79"/>
      <c r="X138" s="79"/>
      <c r="Y138" s="79"/>
      <c r="Z138" s="79"/>
      <c r="AA138" s="79"/>
      <c r="AB138" s="79"/>
      <c r="AC138" s="79"/>
      <c r="AD138" s="79"/>
      <c r="AE138" s="79"/>
    </row>
    <row r="139" spans="4:31" s="85" customFormat="1" x14ac:dyDescent="0.2">
      <c r="D139" s="86"/>
      <c r="E139" s="82"/>
      <c r="F139" s="82"/>
      <c r="G139" s="82"/>
      <c r="H139" s="82"/>
      <c r="I139" s="82"/>
      <c r="J139" s="84"/>
      <c r="K139" s="82"/>
      <c r="L139" s="82"/>
      <c r="M139" s="84"/>
      <c r="N139" s="82"/>
      <c r="O139" s="82"/>
      <c r="P139" s="84"/>
      <c r="Q139" s="81"/>
      <c r="R139" s="81"/>
      <c r="S139" s="81"/>
      <c r="T139" s="79"/>
      <c r="U139" s="79"/>
      <c r="V139" s="79"/>
      <c r="W139" s="79"/>
      <c r="X139" s="79"/>
      <c r="Y139" s="79"/>
      <c r="Z139" s="79"/>
      <c r="AA139" s="79"/>
      <c r="AB139" s="79"/>
      <c r="AC139" s="79"/>
      <c r="AD139" s="79"/>
      <c r="AE139" s="79"/>
    </row>
    <row r="140" spans="4:31" s="85" customFormat="1" x14ac:dyDescent="0.2">
      <c r="D140" s="86"/>
      <c r="E140" s="82"/>
      <c r="F140" s="82"/>
      <c r="G140" s="82"/>
      <c r="H140" s="82"/>
      <c r="I140" s="82"/>
      <c r="J140" s="84"/>
      <c r="K140" s="82"/>
      <c r="L140" s="82"/>
      <c r="M140" s="84"/>
      <c r="N140" s="82"/>
      <c r="O140" s="82"/>
      <c r="P140" s="84"/>
      <c r="Q140" s="81"/>
      <c r="R140" s="81"/>
      <c r="S140" s="81"/>
      <c r="T140" s="79"/>
      <c r="U140" s="79"/>
      <c r="V140" s="79"/>
      <c r="W140" s="79"/>
      <c r="X140" s="79"/>
      <c r="Y140" s="79"/>
      <c r="Z140" s="79"/>
      <c r="AA140" s="79"/>
      <c r="AB140" s="79"/>
      <c r="AC140" s="79"/>
      <c r="AD140" s="79"/>
      <c r="AE140" s="79"/>
    </row>
    <row r="141" spans="4:31" s="85" customFormat="1" x14ac:dyDescent="0.2">
      <c r="D141" s="86"/>
      <c r="E141" s="82"/>
      <c r="F141" s="82"/>
      <c r="G141" s="82"/>
      <c r="H141" s="82"/>
      <c r="I141" s="82"/>
      <c r="J141" s="84"/>
      <c r="K141" s="82"/>
      <c r="L141" s="82"/>
      <c r="M141" s="84"/>
      <c r="N141" s="82"/>
      <c r="O141" s="82"/>
      <c r="P141" s="84"/>
      <c r="Q141" s="81"/>
      <c r="R141" s="81"/>
      <c r="S141" s="81"/>
      <c r="T141" s="79"/>
      <c r="U141" s="79"/>
      <c r="V141" s="79"/>
      <c r="W141" s="79"/>
      <c r="X141" s="79"/>
      <c r="Y141" s="79"/>
      <c r="Z141" s="79"/>
      <c r="AA141" s="79"/>
      <c r="AB141" s="79"/>
      <c r="AC141" s="79"/>
      <c r="AD141" s="79"/>
      <c r="AE141" s="79"/>
    </row>
    <row r="142" spans="4:31" s="85" customFormat="1" x14ac:dyDescent="0.2">
      <c r="D142" s="86"/>
      <c r="E142" s="82"/>
      <c r="F142" s="82"/>
      <c r="G142" s="82"/>
      <c r="H142" s="82"/>
      <c r="I142" s="82"/>
      <c r="J142" s="84"/>
      <c r="K142" s="82"/>
      <c r="L142" s="82"/>
      <c r="M142" s="84"/>
      <c r="N142" s="82"/>
      <c r="O142" s="82"/>
      <c r="P142" s="84"/>
      <c r="Q142" s="81"/>
      <c r="R142" s="81"/>
      <c r="S142" s="81"/>
      <c r="T142" s="79"/>
      <c r="U142" s="79"/>
      <c r="V142" s="79"/>
      <c r="W142" s="79"/>
      <c r="X142" s="79"/>
      <c r="Y142" s="79"/>
      <c r="Z142" s="79"/>
      <c r="AA142" s="79"/>
      <c r="AB142" s="79"/>
      <c r="AC142" s="79"/>
      <c r="AD142" s="79"/>
      <c r="AE142" s="79"/>
    </row>
    <row r="143" spans="4:31" s="85" customFormat="1" x14ac:dyDescent="0.2">
      <c r="D143" s="86"/>
      <c r="E143" s="82"/>
      <c r="F143" s="82"/>
      <c r="G143" s="82"/>
      <c r="H143" s="82"/>
      <c r="I143" s="82"/>
      <c r="J143" s="84"/>
      <c r="K143" s="82"/>
      <c r="L143" s="82"/>
      <c r="M143" s="84"/>
      <c r="N143" s="82"/>
      <c r="O143" s="82"/>
      <c r="P143" s="84"/>
      <c r="Q143" s="81"/>
      <c r="R143" s="81"/>
      <c r="S143" s="81"/>
      <c r="T143" s="79"/>
      <c r="U143" s="79"/>
      <c r="V143" s="79"/>
      <c r="W143" s="79"/>
      <c r="X143" s="79"/>
      <c r="Y143" s="79"/>
      <c r="Z143" s="79"/>
      <c r="AA143" s="79"/>
      <c r="AB143" s="79"/>
      <c r="AC143" s="79"/>
      <c r="AD143" s="79"/>
      <c r="AE143" s="79"/>
    </row>
    <row r="144" spans="4:31" s="85" customFormat="1" x14ac:dyDescent="0.2">
      <c r="D144" s="86"/>
      <c r="E144" s="82"/>
      <c r="F144" s="82"/>
      <c r="G144" s="82"/>
      <c r="H144" s="82"/>
      <c r="I144" s="82"/>
      <c r="J144" s="84"/>
      <c r="K144" s="82"/>
      <c r="L144" s="82"/>
      <c r="M144" s="84"/>
      <c r="N144" s="82"/>
      <c r="O144" s="82"/>
      <c r="P144" s="84"/>
      <c r="Q144" s="81"/>
      <c r="R144" s="81"/>
      <c r="S144" s="81"/>
      <c r="T144" s="79"/>
      <c r="U144" s="79"/>
      <c r="V144" s="79"/>
      <c r="W144" s="79"/>
      <c r="X144" s="79"/>
      <c r="Y144" s="79"/>
      <c r="Z144" s="79"/>
      <c r="AA144" s="79"/>
      <c r="AB144" s="79"/>
      <c r="AC144" s="79"/>
      <c r="AD144" s="79"/>
      <c r="AE144" s="79"/>
    </row>
    <row r="145" spans="4:31" s="85" customFormat="1" x14ac:dyDescent="0.2">
      <c r="D145" s="86"/>
      <c r="E145" s="82"/>
      <c r="F145" s="82"/>
      <c r="G145" s="82"/>
      <c r="H145" s="82"/>
      <c r="I145" s="82"/>
      <c r="J145" s="84"/>
      <c r="K145" s="82"/>
      <c r="L145" s="82"/>
      <c r="M145" s="84"/>
      <c r="N145" s="82"/>
      <c r="O145" s="82"/>
      <c r="P145" s="84"/>
      <c r="Q145" s="81"/>
      <c r="R145" s="81"/>
      <c r="S145" s="81"/>
      <c r="T145" s="79"/>
      <c r="U145" s="79"/>
      <c r="V145" s="79"/>
      <c r="W145" s="79"/>
      <c r="X145" s="79"/>
      <c r="Y145" s="79"/>
      <c r="Z145" s="79"/>
      <c r="AA145" s="79"/>
      <c r="AB145" s="79"/>
      <c r="AC145" s="79"/>
      <c r="AD145" s="79"/>
      <c r="AE145" s="79"/>
    </row>
    <row r="146" spans="4:31" s="85" customFormat="1" x14ac:dyDescent="0.2">
      <c r="D146" s="86"/>
      <c r="E146" s="82"/>
      <c r="F146" s="82"/>
      <c r="G146" s="82"/>
      <c r="H146" s="82"/>
      <c r="I146" s="82"/>
      <c r="J146" s="84"/>
      <c r="K146" s="82"/>
      <c r="L146" s="82"/>
      <c r="M146" s="84"/>
      <c r="N146" s="82"/>
      <c r="O146" s="82"/>
      <c r="P146" s="84"/>
      <c r="Q146" s="81"/>
      <c r="R146" s="81"/>
      <c r="S146" s="81"/>
      <c r="T146" s="79"/>
      <c r="U146" s="79"/>
      <c r="V146" s="79"/>
      <c r="W146" s="79"/>
      <c r="X146" s="79"/>
      <c r="Y146" s="79"/>
      <c r="Z146" s="79"/>
      <c r="AA146" s="79"/>
      <c r="AB146" s="79"/>
      <c r="AC146" s="79"/>
      <c r="AD146" s="79"/>
      <c r="AE146" s="79"/>
    </row>
    <row r="147" spans="4:31" s="85" customFormat="1" x14ac:dyDescent="0.2">
      <c r="D147" s="86"/>
      <c r="E147" s="82"/>
      <c r="F147" s="82"/>
      <c r="G147" s="82"/>
      <c r="H147" s="82"/>
      <c r="I147" s="82"/>
      <c r="J147" s="84"/>
      <c r="K147" s="82"/>
      <c r="L147" s="82"/>
      <c r="M147" s="84"/>
      <c r="N147" s="82"/>
      <c r="O147" s="82"/>
      <c r="P147" s="84"/>
      <c r="Q147" s="81"/>
      <c r="R147" s="81"/>
      <c r="S147" s="81"/>
      <c r="T147" s="79"/>
      <c r="U147" s="79"/>
      <c r="V147" s="79"/>
      <c r="W147" s="79"/>
      <c r="X147" s="79"/>
      <c r="Y147" s="79"/>
      <c r="Z147" s="79"/>
      <c r="AA147" s="79"/>
      <c r="AB147" s="79"/>
      <c r="AC147" s="79"/>
      <c r="AD147" s="79"/>
      <c r="AE147" s="79"/>
    </row>
    <row r="148" spans="4:31" s="85" customFormat="1" x14ac:dyDescent="0.2">
      <c r="D148" s="86"/>
      <c r="E148" s="82"/>
      <c r="F148" s="82"/>
      <c r="G148" s="82"/>
      <c r="H148" s="82"/>
      <c r="I148" s="82"/>
      <c r="J148" s="84"/>
      <c r="K148" s="82"/>
      <c r="L148" s="82"/>
      <c r="M148" s="84"/>
      <c r="N148" s="82"/>
      <c r="O148" s="82"/>
      <c r="P148" s="84"/>
      <c r="Q148" s="81"/>
      <c r="R148" s="81"/>
      <c r="S148" s="81"/>
      <c r="T148" s="79"/>
      <c r="U148" s="79"/>
      <c r="V148" s="79"/>
      <c r="W148" s="79"/>
      <c r="X148" s="79"/>
      <c r="Y148" s="79"/>
      <c r="Z148" s="79"/>
      <c r="AA148" s="79"/>
      <c r="AB148" s="79"/>
      <c r="AC148" s="79"/>
      <c r="AD148" s="79"/>
      <c r="AE148" s="79"/>
    </row>
    <row r="149" spans="4:31" s="85" customFormat="1" x14ac:dyDescent="0.2">
      <c r="D149" s="86"/>
      <c r="E149" s="82"/>
      <c r="F149" s="82"/>
      <c r="G149" s="82"/>
      <c r="H149" s="82"/>
      <c r="I149" s="82"/>
      <c r="J149" s="84"/>
      <c r="K149" s="82"/>
      <c r="L149" s="82"/>
      <c r="M149" s="84"/>
      <c r="N149" s="82"/>
      <c r="O149" s="82"/>
      <c r="P149" s="84"/>
      <c r="Q149" s="81"/>
      <c r="R149" s="81"/>
      <c r="S149" s="81"/>
      <c r="T149" s="79"/>
      <c r="U149" s="79"/>
      <c r="V149" s="79"/>
      <c r="W149" s="79"/>
      <c r="X149" s="79"/>
      <c r="Y149" s="79"/>
      <c r="Z149" s="79"/>
      <c r="AA149" s="79"/>
      <c r="AB149" s="79"/>
      <c r="AC149" s="79"/>
      <c r="AD149" s="79"/>
      <c r="AE149" s="79"/>
    </row>
    <row r="150" spans="4:31" s="85" customFormat="1" x14ac:dyDescent="0.2">
      <c r="D150" s="86"/>
      <c r="E150" s="82"/>
      <c r="F150" s="82"/>
      <c r="G150" s="82"/>
      <c r="H150" s="82"/>
      <c r="I150" s="82"/>
      <c r="J150" s="84"/>
      <c r="K150" s="82"/>
      <c r="L150" s="82"/>
      <c r="M150" s="84"/>
      <c r="N150" s="82"/>
      <c r="O150" s="82"/>
      <c r="P150" s="84"/>
      <c r="Q150" s="81"/>
      <c r="R150" s="81"/>
      <c r="S150" s="81"/>
      <c r="T150" s="79"/>
      <c r="U150" s="79"/>
      <c r="V150" s="79"/>
      <c r="W150" s="79"/>
      <c r="X150" s="79"/>
      <c r="Y150" s="79"/>
      <c r="Z150" s="79"/>
      <c r="AA150" s="79"/>
      <c r="AB150" s="79"/>
      <c r="AC150" s="79"/>
      <c r="AD150" s="79"/>
      <c r="AE150" s="79"/>
    </row>
    <row r="151" spans="4:31" s="85" customFormat="1" x14ac:dyDescent="0.2">
      <c r="D151" s="86"/>
      <c r="E151" s="82"/>
      <c r="F151" s="82"/>
      <c r="G151" s="82"/>
      <c r="H151" s="82"/>
      <c r="I151" s="82"/>
      <c r="J151" s="84"/>
      <c r="K151" s="82"/>
      <c r="L151" s="82"/>
      <c r="M151" s="84"/>
      <c r="N151" s="82"/>
      <c r="O151" s="82"/>
      <c r="P151" s="84"/>
      <c r="Q151" s="81"/>
      <c r="R151" s="81"/>
      <c r="S151" s="81"/>
      <c r="T151" s="79"/>
      <c r="U151" s="79"/>
      <c r="V151" s="79"/>
      <c r="W151" s="79"/>
      <c r="X151" s="79"/>
      <c r="Y151" s="79"/>
      <c r="Z151" s="79"/>
      <c r="AA151" s="79"/>
      <c r="AB151" s="79"/>
      <c r="AC151" s="79"/>
      <c r="AD151" s="79"/>
      <c r="AE151" s="79"/>
    </row>
    <row r="152" spans="4:31" s="85" customFormat="1" x14ac:dyDescent="0.2">
      <c r="D152" s="86"/>
      <c r="E152" s="82"/>
      <c r="F152" s="82"/>
      <c r="G152" s="82"/>
      <c r="H152" s="82"/>
      <c r="I152" s="82"/>
      <c r="J152" s="84"/>
      <c r="K152" s="82"/>
      <c r="L152" s="82"/>
      <c r="M152" s="84"/>
      <c r="N152" s="82"/>
      <c r="O152" s="82"/>
      <c r="P152" s="84"/>
      <c r="Q152" s="81"/>
      <c r="R152" s="81"/>
      <c r="S152" s="81"/>
      <c r="T152" s="79"/>
      <c r="U152" s="79"/>
      <c r="V152" s="79"/>
      <c r="W152" s="79"/>
      <c r="X152" s="79"/>
      <c r="Y152" s="79"/>
      <c r="Z152" s="79"/>
      <c r="AA152" s="79"/>
      <c r="AB152" s="79"/>
      <c r="AC152" s="79"/>
      <c r="AD152" s="79"/>
      <c r="AE152" s="79"/>
    </row>
    <row r="153" spans="4:31" s="85" customFormat="1" x14ac:dyDescent="0.2">
      <c r="D153" s="86"/>
      <c r="E153" s="82"/>
      <c r="F153" s="82"/>
      <c r="G153" s="82"/>
      <c r="H153" s="82"/>
      <c r="I153" s="82"/>
      <c r="J153" s="84"/>
      <c r="K153" s="82"/>
      <c r="L153" s="82"/>
      <c r="M153" s="84"/>
      <c r="N153" s="82"/>
      <c r="O153" s="82"/>
      <c r="P153" s="84"/>
      <c r="Q153" s="81"/>
      <c r="R153" s="81"/>
      <c r="S153" s="81"/>
      <c r="T153" s="79"/>
      <c r="U153" s="79"/>
      <c r="V153" s="79"/>
      <c r="W153" s="79"/>
      <c r="X153" s="79"/>
      <c r="Y153" s="79"/>
      <c r="Z153" s="79"/>
      <c r="AA153" s="79"/>
      <c r="AB153" s="79"/>
      <c r="AC153" s="79"/>
      <c r="AD153" s="79"/>
      <c r="AE153" s="79"/>
    </row>
    <row r="154" spans="4:31" s="85" customFormat="1" x14ac:dyDescent="0.2">
      <c r="D154" s="86"/>
      <c r="E154" s="82"/>
      <c r="F154" s="82"/>
      <c r="G154" s="82"/>
      <c r="H154" s="82"/>
      <c r="I154" s="82"/>
      <c r="J154" s="84"/>
      <c r="K154" s="82"/>
      <c r="L154" s="82"/>
      <c r="M154" s="84"/>
      <c r="N154" s="82"/>
      <c r="O154" s="82"/>
      <c r="P154" s="84"/>
      <c r="Q154" s="81"/>
      <c r="R154" s="81"/>
      <c r="S154" s="81"/>
      <c r="T154" s="79"/>
      <c r="U154" s="79"/>
      <c r="V154" s="79"/>
      <c r="W154" s="79"/>
      <c r="X154" s="79"/>
      <c r="Y154" s="79"/>
      <c r="Z154" s="79"/>
      <c r="AA154" s="79"/>
      <c r="AB154" s="79"/>
      <c r="AC154" s="79"/>
      <c r="AD154" s="79"/>
      <c r="AE154" s="79"/>
    </row>
    <row r="155" spans="4:31" s="85" customFormat="1" x14ac:dyDescent="0.2">
      <c r="D155" s="86"/>
      <c r="E155" s="82"/>
      <c r="F155" s="82"/>
      <c r="G155" s="82"/>
      <c r="H155" s="82"/>
      <c r="I155" s="82"/>
      <c r="J155" s="84"/>
      <c r="K155" s="82"/>
      <c r="L155" s="82"/>
      <c r="M155" s="84"/>
      <c r="N155" s="82"/>
      <c r="O155" s="82"/>
      <c r="P155" s="84"/>
      <c r="Q155" s="81"/>
      <c r="R155" s="81"/>
      <c r="S155" s="81"/>
      <c r="T155" s="79"/>
      <c r="U155" s="79"/>
      <c r="V155" s="79"/>
      <c r="W155" s="79"/>
      <c r="X155" s="79"/>
      <c r="Y155" s="79"/>
      <c r="Z155" s="79"/>
      <c r="AA155" s="79"/>
      <c r="AB155" s="79"/>
      <c r="AC155" s="79"/>
      <c r="AD155" s="79"/>
      <c r="AE155" s="79"/>
    </row>
    <row r="156" spans="4:31" s="85" customFormat="1" x14ac:dyDescent="0.2">
      <c r="D156" s="86"/>
      <c r="E156" s="82"/>
      <c r="F156" s="82"/>
      <c r="G156" s="82"/>
      <c r="H156" s="82"/>
      <c r="I156" s="82"/>
      <c r="J156" s="84"/>
      <c r="K156" s="82"/>
      <c r="L156" s="82"/>
      <c r="M156" s="84"/>
      <c r="N156" s="82"/>
      <c r="O156" s="82"/>
      <c r="P156" s="84"/>
      <c r="Q156" s="81"/>
      <c r="R156" s="81"/>
      <c r="S156" s="81"/>
      <c r="T156" s="79"/>
      <c r="U156" s="79"/>
      <c r="V156" s="79"/>
      <c r="W156" s="79"/>
      <c r="X156" s="79"/>
      <c r="Y156" s="79"/>
      <c r="Z156" s="79"/>
      <c r="AA156" s="79"/>
      <c r="AB156" s="79"/>
      <c r="AC156" s="79"/>
      <c r="AD156" s="79"/>
      <c r="AE156" s="79"/>
    </row>
    <row r="157" spans="4:31" s="85" customFormat="1" x14ac:dyDescent="0.2">
      <c r="D157" s="86"/>
      <c r="E157" s="82"/>
      <c r="F157" s="82"/>
      <c r="G157" s="82"/>
      <c r="H157" s="82"/>
      <c r="I157" s="82"/>
      <c r="J157" s="84"/>
      <c r="K157" s="82"/>
      <c r="L157" s="82"/>
      <c r="M157" s="84"/>
      <c r="N157" s="82"/>
      <c r="O157" s="82"/>
      <c r="P157" s="84"/>
      <c r="Q157" s="81"/>
      <c r="R157" s="81"/>
      <c r="S157" s="81"/>
      <c r="T157" s="79"/>
      <c r="U157" s="79"/>
      <c r="V157" s="79"/>
      <c r="W157" s="79"/>
      <c r="X157" s="79"/>
      <c r="Y157" s="79"/>
      <c r="Z157" s="79"/>
      <c r="AA157" s="79"/>
      <c r="AB157" s="79"/>
      <c r="AC157" s="79"/>
      <c r="AD157" s="79"/>
      <c r="AE157" s="79"/>
    </row>
    <row r="158" spans="4:31" s="85" customFormat="1" x14ac:dyDescent="0.2">
      <c r="D158" s="86"/>
      <c r="E158" s="82"/>
      <c r="F158" s="82"/>
      <c r="G158" s="82"/>
      <c r="H158" s="82"/>
      <c r="I158" s="82"/>
      <c r="J158" s="84"/>
      <c r="K158" s="82"/>
      <c r="L158" s="82"/>
      <c r="M158" s="84"/>
      <c r="N158" s="82"/>
      <c r="O158" s="82"/>
      <c r="P158" s="84"/>
      <c r="Q158" s="81"/>
      <c r="R158" s="81"/>
      <c r="S158" s="81"/>
      <c r="T158" s="79"/>
      <c r="U158" s="79"/>
      <c r="V158" s="79"/>
      <c r="W158" s="79"/>
      <c r="X158" s="79"/>
      <c r="Y158" s="79"/>
      <c r="Z158" s="79"/>
      <c r="AA158" s="79"/>
      <c r="AB158" s="79"/>
      <c r="AC158" s="79"/>
      <c r="AD158" s="79"/>
      <c r="AE158" s="79"/>
    </row>
    <row r="159" spans="4:31" s="85" customFormat="1" x14ac:dyDescent="0.2">
      <c r="D159" s="86"/>
      <c r="E159" s="82"/>
      <c r="F159" s="82"/>
      <c r="G159" s="82"/>
      <c r="H159" s="82"/>
      <c r="I159" s="82"/>
      <c r="J159" s="84"/>
      <c r="K159" s="82"/>
      <c r="L159" s="82"/>
      <c r="M159" s="84"/>
      <c r="N159" s="82"/>
      <c r="O159" s="82"/>
      <c r="P159" s="84"/>
      <c r="Q159" s="81"/>
      <c r="R159" s="81"/>
      <c r="S159" s="81"/>
      <c r="T159" s="79"/>
      <c r="U159" s="79"/>
      <c r="V159" s="79"/>
      <c r="W159" s="79"/>
      <c r="X159" s="79"/>
      <c r="Y159" s="79"/>
      <c r="Z159" s="79"/>
      <c r="AA159" s="79"/>
      <c r="AB159" s="79"/>
      <c r="AC159" s="79"/>
      <c r="AD159" s="79"/>
      <c r="AE159" s="79"/>
    </row>
    <row r="160" spans="4:31" s="85" customFormat="1" x14ac:dyDescent="0.2">
      <c r="D160" s="86"/>
      <c r="E160" s="82"/>
      <c r="F160" s="82"/>
      <c r="G160" s="82"/>
      <c r="H160" s="82"/>
      <c r="I160" s="82"/>
      <c r="J160" s="84"/>
      <c r="K160" s="82"/>
      <c r="L160" s="82"/>
      <c r="M160" s="84"/>
      <c r="N160" s="82"/>
      <c r="O160" s="82"/>
      <c r="P160" s="84"/>
      <c r="Q160" s="81"/>
      <c r="R160" s="81"/>
      <c r="S160" s="81"/>
      <c r="T160" s="79"/>
      <c r="U160" s="79"/>
      <c r="V160" s="79"/>
      <c r="W160" s="79"/>
      <c r="X160" s="79"/>
      <c r="Y160" s="79"/>
      <c r="Z160" s="79"/>
      <c r="AA160" s="79"/>
      <c r="AB160" s="79"/>
      <c r="AC160" s="79"/>
      <c r="AD160" s="79"/>
      <c r="AE160" s="79"/>
    </row>
    <row r="161" spans="4:31" s="85" customFormat="1" x14ac:dyDescent="0.2">
      <c r="D161" s="86"/>
      <c r="E161" s="82"/>
      <c r="F161" s="82"/>
      <c r="G161" s="82"/>
      <c r="H161" s="82"/>
      <c r="I161" s="82"/>
      <c r="J161" s="84"/>
      <c r="K161" s="82"/>
      <c r="L161" s="82"/>
      <c r="M161" s="84"/>
      <c r="N161" s="82"/>
      <c r="O161" s="82"/>
      <c r="P161" s="84"/>
      <c r="Q161" s="81"/>
      <c r="R161" s="81"/>
      <c r="S161" s="81"/>
      <c r="T161" s="79"/>
      <c r="U161" s="79"/>
      <c r="V161" s="79"/>
      <c r="W161" s="79"/>
      <c r="X161" s="79"/>
      <c r="Y161" s="79"/>
      <c r="Z161" s="79"/>
      <c r="AA161" s="79"/>
      <c r="AB161" s="79"/>
      <c r="AC161" s="79"/>
      <c r="AD161" s="79"/>
      <c r="AE161" s="79"/>
    </row>
    <row r="162" spans="4:31" s="85" customFormat="1" x14ac:dyDescent="0.2">
      <c r="D162" s="86"/>
      <c r="E162" s="82"/>
      <c r="F162" s="82"/>
      <c r="G162" s="82"/>
      <c r="H162" s="82"/>
      <c r="I162" s="82"/>
      <c r="J162" s="84"/>
      <c r="K162" s="82"/>
      <c r="L162" s="82"/>
      <c r="M162" s="84"/>
      <c r="N162" s="82"/>
      <c r="O162" s="82"/>
      <c r="P162" s="84"/>
      <c r="Q162" s="81"/>
      <c r="R162" s="81"/>
      <c r="S162" s="81"/>
      <c r="T162" s="79"/>
      <c r="U162" s="79"/>
      <c r="V162" s="79"/>
      <c r="W162" s="79"/>
      <c r="X162" s="79"/>
      <c r="Y162" s="79"/>
      <c r="Z162" s="79"/>
      <c r="AA162" s="79"/>
      <c r="AB162" s="79"/>
      <c r="AC162" s="79"/>
      <c r="AD162" s="79"/>
      <c r="AE162" s="79"/>
    </row>
    <row r="163" spans="4:31" s="85" customFormat="1" x14ac:dyDescent="0.2">
      <c r="D163" s="86"/>
      <c r="E163" s="82"/>
      <c r="F163" s="82"/>
      <c r="G163" s="82"/>
      <c r="H163" s="82"/>
      <c r="I163" s="82"/>
      <c r="J163" s="84"/>
      <c r="K163" s="82"/>
      <c r="L163" s="82"/>
      <c r="M163" s="84"/>
      <c r="N163" s="82"/>
      <c r="O163" s="82"/>
      <c r="P163" s="84"/>
      <c r="Q163" s="81"/>
      <c r="R163" s="81"/>
      <c r="S163" s="81"/>
      <c r="T163" s="79"/>
      <c r="U163" s="79"/>
      <c r="V163" s="79"/>
      <c r="W163" s="79"/>
      <c r="X163" s="79"/>
      <c r="Y163" s="79"/>
      <c r="Z163" s="79"/>
      <c r="AA163" s="79"/>
      <c r="AB163" s="79"/>
      <c r="AC163" s="79"/>
      <c r="AD163" s="79"/>
      <c r="AE163" s="79"/>
    </row>
    <row r="164" spans="4:31" s="85" customFormat="1" x14ac:dyDescent="0.2">
      <c r="D164" s="86"/>
      <c r="E164" s="82"/>
      <c r="F164" s="82"/>
      <c r="G164" s="82"/>
      <c r="H164" s="82"/>
      <c r="I164" s="82"/>
      <c r="J164" s="84"/>
      <c r="K164" s="82"/>
      <c r="L164" s="82"/>
      <c r="M164" s="84"/>
      <c r="N164" s="82"/>
      <c r="O164" s="82"/>
      <c r="P164" s="84"/>
      <c r="Q164" s="81"/>
      <c r="R164" s="81"/>
      <c r="S164" s="81"/>
      <c r="T164" s="79"/>
      <c r="U164" s="79"/>
      <c r="V164" s="79"/>
      <c r="W164" s="79"/>
      <c r="X164" s="79"/>
      <c r="Y164" s="79"/>
      <c r="Z164" s="79"/>
      <c r="AA164" s="79"/>
      <c r="AB164" s="79"/>
      <c r="AC164" s="79"/>
      <c r="AD164" s="79"/>
      <c r="AE164" s="79"/>
    </row>
    <row r="165" spans="4:31" s="85" customFormat="1" x14ac:dyDescent="0.2">
      <c r="D165" s="86"/>
      <c r="E165" s="82"/>
      <c r="F165" s="82"/>
      <c r="G165" s="82"/>
      <c r="H165" s="82"/>
      <c r="I165" s="82"/>
      <c r="J165" s="84"/>
      <c r="K165" s="82"/>
      <c r="L165" s="82"/>
      <c r="M165" s="84"/>
      <c r="N165" s="82"/>
      <c r="O165" s="82"/>
      <c r="P165" s="84"/>
      <c r="Q165" s="81"/>
      <c r="R165" s="81"/>
      <c r="S165" s="81"/>
      <c r="T165" s="79"/>
      <c r="U165" s="79"/>
      <c r="V165" s="79"/>
      <c r="W165" s="79"/>
      <c r="X165" s="79"/>
      <c r="Y165" s="79"/>
      <c r="Z165" s="79"/>
      <c r="AA165" s="79"/>
      <c r="AB165" s="79"/>
      <c r="AC165" s="79"/>
      <c r="AD165" s="79"/>
      <c r="AE165" s="79"/>
    </row>
    <row r="166" spans="4:31" s="85" customFormat="1" x14ac:dyDescent="0.2">
      <c r="D166" s="86"/>
      <c r="E166" s="82"/>
      <c r="F166" s="82"/>
      <c r="G166" s="82"/>
      <c r="H166" s="82"/>
      <c r="I166" s="82"/>
      <c r="J166" s="84"/>
      <c r="K166" s="82"/>
      <c r="L166" s="82"/>
      <c r="M166" s="84"/>
      <c r="N166" s="82"/>
      <c r="O166" s="82"/>
      <c r="P166" s="84"/>
      <c r="Q166" s="81"/>
      <c r="R166" s="81"/>
      <c r="S166" s="81"/>
      <c r="T166" s="79"/>
      <c r="U166" s="79"/>
      <c r="V166" s="79"/>
      <c r="W166" s="79"/>
      <c r="X166" s="79"/>
      <c r="Y166" s="79"/>
      <c r="Z166" s="79"/>
      <c r="AA166" s="79"/>
      <c r="AB166" s="79"/>
      <c r="AC166" s="79"/>
      <c r="AD166" s="79"/>
      <c r="AE166" s="79"/>
    </row>
    <row r="167" spans="4:31" s="85" customFormat="1" x14ac:dyDescent="0.2">
      <c r="D167" s="86"/>
      <c r="E167" s="82"/>
      <c r="F167" s="82"/>
      <c r="G167" s="82"/>
      <c r="H167" s="82"/>
      <c r="I167" s="82"/>
      <c r="J167" s="84"/>
      <c r="K167" s="82"/>
      <c r="L167" s="82"/>
      <c r="M167" s="84"/>
      <c r="N167" s="82"/>
      <c r="O167" s="82"/>
      <c r="P167" s="84"/>
      <c r="Q167" s="81"/>
      <c r="R167" s="81"/>
      <c r="S167" s="81"/>
      <c r="T167" s="79"/>
      <c r="U167" s="79"/>
      <c r="V167" s="79"/>
      <c r="W167" s="79"/>
      <c r="X167" s="79"/>
      <c r="Y167" s="79"/>
      <c r="Z167" s="79"/>
      <c r="AA167" s="79"/>
      <c r="AB167" s="79"/>
      <c r="AC167" s="79"/>
      <c r="AD167" s="79"/>
      <c r="AE167" s="79"/>
    </row>
    <row r="168" spans="4:31" s="85" customFormat="1" x14ac:dyDescent="0.2">
      <c r="D168" s="86"/>
      <c r="E168" s="82"/>
      <c r="F168" s="82"/>
      <c r="G168" s="82"/>
      <c r="H168" s="82"/>
      <c r="I168" s="82"/>
      <c r="J168" s="84"/>
      <c r="K168" s="82"/>
      <c r="L168" s="82"/>
      <c r="M168" s="84"/>
      <c r="N168" s="82"/>
      <c r="O168" s="82"/>
      <c r="P168" s="84"/>
      <c r="Q168" s="81"/>
      <c r="R168" s="81"/>
      <c r="S168" s="81"/>
      <c r="T168" s="79"/>
      <c r="U168" s="79"/>
      <c r="V168" s="79"/>
      <c r="W168" s="79"/>
      <c r="X168" s="79"/>
      <c r="Y168" s="79"/>
      <c r="Z168" s="79"/>
      <c r="AA168" s="79"/>
      <c r="AB168" s="79"/>
      <c r="AC168" s="79"/>
      <c r="AD168" s="79"/>
      <c r="AE168" s="79"/>
    </row>
    <row r="169" spans="4:31" s="85" customFormat="1" x14ac:dyDescent="0.2">
      <c r="D169" s="86"/>
      <c r="E169" s="82"/>
      <c r="F169" s="82"/>
      <c r="G169" s="82"/>
      <c r="H169" s="82"/>
      <c r="I169" s="82"/>
      <c r="J169" s="84"/>
      <c r="K169" s="82"/>
      <c r="L169" s="82"/>
      <c r="M169" s="84"/>
      <c r="N169" s="82"/>
      <c r="O169" s="82"/>
      <c r="P169" s="84"/>
      <c r="Q169" s="81"/>
      <c r="R169" s="81"/>
      <c r="S169" s="81"/>
      <c r="T169" s="79"/>
      <c r="U169" s="79"/>
      <c r="V169" s="79"/>
      <c r="W169" s="79"/>
      <c r="X169" s="79"/>
      <c r="Y169" s="79"/>
      <c r="Z169" s="79"/>
      <c r="AA169" s="79"/>
      <c r="AB169" s="79"/>
      <c r="AC169" s="79"/>
      <c r="AD169" s="79"/>
      <c r="AE169" s="79"/>
    </row>
    <row r="170" spans="4:31" s="85" customFormat="1" x14ac:dyDescent="0.2">
      <c r="D170" s="86"/>
      <c r="E170" s="82"/>
      <c r="F170" s="82"/>
      <c r="G170" s="82"/>
      <c r="H170" s="82"/>
      <c r="I170" s="82"/>
      <c r="J170" s="84"/>
      <c r="K170" s="82"/>
      <c r="L170" s="82"/>
      <c r="M170" s="84"/>
      <c r="N170" s="82"/>
      <c r="O170" s="82"/>
      <c r="P170" s="84"/>
      <c r="Q170" s="81"/>
      <c r="R170" s="81"/>
      <c r="S170" s="81"/>
      <c r="T170" s="79"/>
      <c r="U170" s="79"/>
      <c r="V170" s="79"/>
      <c r="W170" s="79"/>
      <c r="X170" s="79"/>
      <c r="Y170" s="79"/>
      <c r="Z170" s="79"/>
      <c r="AA170" s="79"/>
      <c r="AB170" s="79"/>
      <c r="AC170" s="79"/>
      <c r="AD170" s="79"/>
      <c r="AE170" s="79"/>
    </row>
    <row r="171" spans="4:31" s="85" customFormat="1" x14ac:dyDescent="0.2">
      <c r="D171" s="86"/>
      <c r="E171" s="82"/>
      <c r="F171" s="82"/>
      <c r="G171" s="82"/>
      <c r="H171" s="82"/>
      <c r="I171" s="82"/>
      <c r="J171" s="84"/>
      <c r="K171" s="82"/>
      <c r="L171" s="82"/>
      <c r="M171" s="84"/>
      <c r="N171" s="82"/>
      <c r="O171" s="82"/>
      <c r="P171" s="84"/>
      <c r="Q171" s="81"/>
      <c r="R171" s="81"/>
      <c r="S171" s="81"/>
      <c r="T171" s="79"/>
      <c r="U171" s="79"/>
      <c r="V171" s="79"/>
      <c r="W171" s="79"/>
      <c r="X171" s="79"/>
      <c r="Y171" s="79"/>
      <c r="Z171" s="79"/>
      <c r="AA171" s="79"/>
      <c r="AB171" s="79"/>
      <c r="AC171" s="79"/>
      <c r="AD171" s="79"/>
      <c r="AE171" s="79"/>
    </row>
    <row r="172" spans="4:31" s="85" customFormat="1" x14ac:dyDescent="0.2">
      <c r="D172" s="86"/>
      <c r="E172" s="82"/>
      <c r="F172" s="82"/>
      <c r="G172" s="82"/>
      <c r="H172" s="82"/>
      <c r="I172" s="82"/>
      <c r="J172" s="84"/>
      <c r="K172" s="82"/>
      <c r="L172" s="82"/>
      <c r="M172" s="84"/>
      <c r="N172" s="82"/>
      <c r="O172" s="82"/>
      <c r="P172" s="84"/>
      <c r="Q172" s="81"/>
      <c r="R172" s="81"/>
      <c r="S172" s="81"/>
      <c r="T172" s="79"/>
      <c r="U172" s="79"/>
      <c r="V172" s="79"/>
      <c r="W172" s="79"/>
      <c r="X172" s="79"/>
      <c r="Y172" s="79"/>
      <c r="Z172" s="79"/>
      <c r="AA172" s="79"/>
      <c r="AB172" s="79"/>
      <c r="AC172" s="79"/>
      <c r="AD172" s="79"/>
      <c r="AE172" s="79"/>
    </row>
    <row r="173" spans="4:31" s="85" customFormat="1" x14ac:dyDescent="0.2">
      <c r="D173" s="86"/>
      <c r="E173" s="82"/>
      <c r="F173" s="82"/>
      <c r="G173" s="82"/>
      <c r="H173" s="82"/>
      <c r="I173" s="82"/>
      <c r="J173" s="84"/>
      <c r="K173" s="82"/>
      <c r="L173" s="82"/>
      <c r="M173" s="84"/>
      <c r="N173" s="82"/>
      <c r="O173" s="82"/>
      <c r="P173" s="84"/>
      <c r="Q173" s="81"/>
      <c r="R173" s="81"/>
      <c r="S173" s="81"/>
      <c r="T173" s="79"/>
      <c r="U173" s="79"/>
      <c r="V173" s="79"/>
      <c r="W173" s="79"/>
      <c r="X173" s="79"/>
      <c r="Y173" s="79"/>
      <c r="Z173" s="79"/>
      <c r="AA173" s="79"/>
      <c r="AB173" s="79"/>
      <c r="AC173" s="79"/>
      <c r="AD173" s="79"/>
      <c r="AE173" s="79"/>
    </row>
    <row r="174" spans="4:31" s="85" customFormat="1" x14ac:dyDescent="0.2">
      <c r="D174" s="86"/>
      <c r="E174" s="82"/>
      <c r="F174" s="82"/>
      <c r="G174" s="82"/>
      <c r="H174" s="82"/>
      <c r="I174" s="82"/>
      <c r="J174" s="84"/>
      <c r="K174" s="82"/>
      <c r="L174" s="82"/>
      <c r="M174" s="84"/>
      <c r="N174" s="82"/>
      <c r="O174" s="82"/>
      <c r="P174" s="84"/>
      <c r="Q174" s="81"/>
      <c r="R174" s="81"/>
      <c r="S174" s="81"/>
      <c r="T174" s="79"/>
      <c r="U174" s="79"/>
      <c r="V174" s="79"/>
      <c r="W174" s="79"/>
      <c r="X174" s="79"/>
      <c r="Y174" s="79"/>
      <c r="Z174" s="79"/>
      <c r="AA174" s="79"/>
      <c r="AB174" s="79"/>
      <c r="AC174" s="79"/>
      <c r="AD174" s="79"/>
      <c r="AE174" s="79"/>
    </row>
    <row r="175" spans="4:31" s="85" customFormat="1" x14ac:dyDescent="0.2">
      <c r="D175" s="86"/>
      <c r="E175" s="82"/>
      <c r="F175" s="82"/>
      <c r="G175" s="82"/>
      <c r="H175" s="82"/>
      <c r="I175" s="82"/>
      <c r="J175" s="84"/>
      <c r="K175" s="82"/>
      <c r="L175" s="82"/>
      <c r="M175" s="84"/>
      <c r="N175" s="82"/>
      <c r="O175" s="82"/>
      <c r="P175" s="84"/>
      <c r="Q175" s="81"/>
      <c r="R175" s="81"/>
      <c r="S175" s="81"/>
      <c r="T175" s="79"/>
      <c r="U175" s="79"/>
      <c r="V175" s="79"/>
      <c r="W175" s="79"/>
      <c r="X175" s="79"/>
      <c r="Y175" s="79"/>
      <c r="Z175" s="79"/>
      <c r="AA175" s="79"/>
      <c r="AB175" s="79"/>
      <c r="AC175" s="79"/>
      <c r="AD175" s="79"/>
      <c r="AE175" s="79"/>
    </row>
    <row r="176" spans="4:31" s="85" customFormat="1" x14ac:dyDescent="0.2">
      <c r="D176" s="86"/>
      <c r="E176" s="82"/>
      <c r="F176" s="82"/>
      <c r="G176" s="82"/>
      <c r="H176" s="82"/>
      <c r="I176" s="82"/>
      <c r="J176" s="84"/>
      <c r="K176" s="82"/>
      <c r="L176" s="82"/>
      <c r="M176" s="84"/>
      <c r="N176" s="82"/>
      <c r="O176" s="82"/>
      <c r="P176" s="84"/>
      <c r="Q176" s="81"/>
      <c r="R176" s="81"/>
      <c r="S176" s="81"/>
      <c r="T176" s="79"/>
      <c r="U176" s="79"/>
      <c r="V176" s="79"/>
      <c r="W176" s="79"/>
      <c r="X176" s="79"/>
      <c r="Y176" s="79"/>
      <c r="Z176" s="79"/>
      <c r="AA176" s="79"/>
      <c r="AB176" s="79"/>
      <c r="AC176" s="79"/>
      <c r="AD176" s="79"/>
      <c r="AE176" s="79"/>
    </row>
    <row r="177" spans="4:31" s="85" customFormat="1" x14ac:dyDescent="0.2">
      <c r="D177" s="86"/>
      <c r="E177" s="82"/>
      <c r="F177" s="82"/>
      <c r="G177" s="82"/>
      <c r="H177" s="82"/>
      <c r="I177" s="82"/>
      <c r="J177" s="84"/>
      <c r="K177" s="82"/>
      <c r="L177" s="82"/>
      <c r="M177" s="84"/>
      <c r="N177" s="82"/>
      <c r="O177" s="82"/>
      <c r="P177" s="84"/>
      <c r="Q177" s="81"/>
      <c r="R177" s="81"/>
      <c r="S177" s="81"/>
      <c r="T177" s="79"/>
      <c r="U177" s="79"/>
      <c r="V177" s="79"/>
      <c r="W177" s="79"/>
      <c r="X177" s="79"/>
      <c r="Y177" s="79"/>
      <c r="Z177" s="79"/>
      <c r="AA177" s="79"/>
      <c r="AB177" s="79"/>
      <c r="AC177" s="79"/>
      <c r="AD177" s="79"/>
      <c r="AE177" s="79"/>
    </row>
    <row r="178" spans="4:31" s="85" customFormat="1" x14ac:dyDescent="0.2">
      <c r="D178" s="86"/>
      <c r="E178" s="82"/>
      <c r="F178" s="82"/>
      <c r="G178" s="82"/>
      <c r="H178" s="82"/>
      <c r="I178" s="82"/>
      <c r="J178" s="84"/>
      <c r="K178" s="82"/>
      <c r="L178" s="82"/>
      <c r="M178" s="84"/>
      <c r="N178" s="82"/>
      <c r="O178" s="82"/>
      <c r="P178" s="84"/>
      <c r="Q178" s="81"/>
      <c r="R178" s="81"/>
      <c r="S178" s="81"/>
      <c r="T178" s="79"/>
      <c r="U178" s="79"/>
      <c r="V178" s="79"/>
      <c r="W178" s="79"/>
      <c r="X178" s="79"/>
      <c r="Y178" s="79"/>
      <c r="Z178" s="79"/>
      <c r="AA178" s="79"/>
      <c r="AB178" s="79"/>
      <c r="AC178" s="79"/>
      <c r="AD178" s="79"/>
      <c r="AE178" s="79"/>
    </row>
    <row r="179" spans="4:31" s="85" customFormat="1" x14ac:dyDescent="0.2">
      <c r="D179" s="86"/>
      <c r="E179" s="82"/>
      <c r="F179" s="82"/>
      <c r="G179" s="82"/>
      <c r="H179" s="82"/>
      <c r="I179" s="82"/>
      <c r="J179" s="84"/>
      <c r="K179" s="82"/>
      <c r="L179" s="82"/>
      <c r="M179" s="84"/>
      <c r="N179" s="82"/>
      <c r="O179" s="82"/>
      <c r="P179" s="84"/>
      <c r="Q179" s="81"/>
      <c r="R179" s="81"/>
      <c r="S179" s="81"/>
      <c r="T179" s="79"/>
      <c r="U179" s="79"/>
      <c r="V179" s="79"/>
      <c r="W179" s="79"/>
      <c r="X179" s="79"/>
      <c r="Y179" s="79"/>
      <c r="Z179" s="79"/>
      <c r="AA179" s="79"/>
      <c r="AB179" s="79"/>
      <c r="AC179" s="79"/>
      <c r="AD179" s="79"/>
      <c r="AE179" s="79"/>
    </row>
    <row r="180" spans="4:31" s="85" customFormat="1" x14ac:dyDescent="0.2">
      <c r="D180" s="86"/>
      <c r="E180" s="82"/>
      <c r="F180" s="82"/>
      <c r="G180" s="82"/>
      <c r="H180" s="82"/>
      <c r="I180" s="82"/>
      <c r="J180" s="84"/>
      <c r="K180" s="82"/>
      <c r="L180" s="82"/>
      <c r="M180" s="84"/>
      <c r="N180" s="82"/>
      <c r="O180" s="82"/>
      <c r="P180" s="84"/>
      <c r="Q180" s="81"/>
      <c r="R180" s="81"/>
      <c r="S180" s="81"/>
      <c r="T180" s="79"/>
      <c r="U180" s="79"/>
      <c r="V180" s="79"/>
      <c r="W180" s="79"/>
      <c r="X180" s="79"/>
      <c r="Y180" s="79"/>
      <c r="Z180" s="79"/>
      <c r="AA180" s="79"/>
      <c r="AB180" s="79"/>
      <c r="AC180" s="79"/>
      <c r="AD180" s="79"/>
      <c r="AE180" s="79"/>
    </row>
    <row r="181" spans="4:31" s="85" customFormat="1" x14ac:dyDescent="0.2">
      <c r="D181" s="86"/>
      <c r="E181" s="82"/>
      <c r="F181" s="82"/>
      <c r="G181" s="82"/>
      <c r="H181" s="82"/>
      <c r="I181" s="82"/>
      <c r="J181" s="84"/>
      <c r="K181" s="82"/>
      <c r="L181" s="82"/>
      <c r="M181" s="84"/>
      <c r="N181" s="82"/>
      <c r="O181" s="82"/>
      <c r="P181" s="84"/>
      <c r="Q181" s="81"/>
      <c r="R181" s="81"/>
      <c r="S181" s="81"/>
      <c r="T181" s="79"/>
      <c r="U181" s="79"/>
      <c r="V181" s="79"/>
      <c r="W181" s="79"/>
      <c r="X181" s="79"/>
      <c r="Y181" s="79"/>
      <c r="Z181" s="79"/>
      <c r="AA181" s="79"/>
      <c r="AB181" s="79"/>
      <c r="AC181" s="79"/>
      <c r="AD181" s="79"/>
      <c r="AE181" s="79"/>
    </row>
  </sheetData>
  <mergeCells count="14">
    <mergeCell ref="H1:J1"/>
    <mergeCell ref="K1:M1"/>
    <mergeCell ref="T1:U1"/>
    <mergeCell ref="Q1:Q2"/>
    <mergeCell ref="R1:R2"/>
    <mergeCell ref="S1:S2"/>
    <mergeCell ref="N1:P1"/>
    <mergeCell ref="F1:G1"/>
    <mergeCell ref="E1:E2"/>
    <mergeCell ref="D1:D2"/>
    <mergeCell ref="A80:A104"/>
    <mergeCell ref="A1:A2"/>
    <mergeCell ref="B1:B2"/>
    <mergeCell ref="C1:C2"/>
  </mergeCells>
  <phoneticPr fontId="5" type="noConversion"/>
  <conditionalFormatting sqref="R80:R82 R3:R77">
    <cfRule type="cellIs" dxfId="66" priority="617" stopIfTrue="1" operator="equal">
      <formula>$R$82</formula>
    </cfRule>
    <cfRule type="cellIs" dxfId="65" priority="618" stopIfTrue="1" operator="equal">
      <formula>$R$81</formula>
    </cfRule>
    <cfRule type="cellIs" dxfId="64" priority="619" stopIfTrue="1" operator="equal">
      <formula>$R$80</formula>
    </cfRule>
  </conditionalFormatting>
  <conditionalFormatting sqref="O80:O106 I80:I106 L80:L106 O3:O77 I3:I77 L3:L77">
    <cfRule type="cellIs" dxfId="63" priority="86" stopIfTrue="1" operator="between">
      <formula>$I$88</formula>
      <formula>$I$106</formula>
    </cfRule>
    <cfRule type="cellIs" dxfId="62" priority="87" stopIfTrue="1" operator="between">
      <formula>$I$87</formula>
      <formula>$I$85</formula>
    </cfRule>
    <cfRule type="cellIs" dxfId="61" priority="88" stopIfTrue="1" operator="between">
      <formula>$I$84</formula>
      <formula>$I$80</formula>
    </cfRule>
  </conditionalFormatting>
  <conditionalFormatting sqref="R64 R25:R39 R23 R12:R14 R6:R10 R18:R21 R41:R62">
    <cfRule type="cellIs" dxfId="60" priority="830" stopIfTrue="1" operator="equal">
      <formula>$R$234</formula>
    </cfRule>
    <cfRule type="cellIs" dxfId="59" priority="831" stopIfTrue="1" operator="equal">
      <formula>$R$233</formula>
    </cfRule>
    <cfRule type="cellIs" dxfId="58" priority="832" stopIfTrue="1" operator="equal">
      <formula>$R$232</formula>
    </cfRule>
  </conditionalFormatting>
  <conditionalFormatting sqref="I59 I52 L3:L14 L16:L27 I3:I6 I15:I18 I24:I31 I40:I43 I47 I62 I12 L29:L77 I65:I77 O3:O77">
    <cfRule type="cellIs" dxfId="57" priority="866" stopIfTrue="1" operator="equal">
      <formula>$I$107</formula>
    </cfRule>
  </conditionalFormatting>
  <conditionalFormatting sqref="R3:R65 R76:R77">
    <cfRule type="cellIs" dxfId="56" priority="880" stopIfTrue="1" operator="equal">
      <formula>$R$235</formula>
    </cfRule>
    <cfRule type="cellIs" dxfId="55" priority="881" stopIfTrue="1" operator="equal">
      <formula>$R$234</formula>
    </cfRule>
    <cfRule type="cellIs" dxfId="54" priority="882" stopIfTrue="1" operator="equal">
      <formula>$R$233</formula>
    </cfRule>
  </conditionalFormatting>
  <dataValidations count="7">
    <dataValidation type="list" allowBlank="1" showInputMessage="1" showErrorMessage="1" sqref="F80 F3:F77">
      <formula1>Level1agencysaving</formula1>
    </dataValidation>
    <dataValidation type="list" allowBlank="1" showInputMessage="1" showErrorMessage="1" sqref="G80 G3:G77">
      <formula1>Level2agencysaving</formula1>
    </dataValidation>
    <dataValidation type="list" allowBlank="1" showInputMessage="1" showErrorMessage="1" sqref="E80 E3:E77">
      <formula1>Unit</formula1>
    </dataValidation>
    <dataValidation type="list" allowBlank="1" showInputMessage="1" showErrorMessage="1" sqref="B80 B3:B77">
      <formula1>Outcomedetail</formula1>
    </dataValidation>
    <dataValidation type="list" allowBlank="1" showInputMessage="1" showErrorMessage="1" sqref="T3:T77">
      <formula1>$T$80:$T$81</formula1>
    </dataValidation>
    <dataValidation type="list" allowBlank="1" showInputMessage="1" showErrorMessage="1" sqref="O3:O77 I3:I77 L3:L77">
      <formula1>Year</formula1>
    </dataValidation>
    <dataValidation type="list" allowBlank="1" showInputMessage="1" showErrorMessage="1" sqref="A3:A77">
      <formula1>Outcomecategory</formula1>
    </dataValidation>
  </dataValidations>
  <hyperlinks>
    <hyperlink ref="Q65" r:id="rId1"/>
    <hyperlink ref="Q24" r:id="rId2" display="DWP Co-Design Interim Report (Annex A)"/>
    <hyperlink ref="Q68" r:id="rId3"/>
    <hyperlink ref="Q3" r:id="rId4" location="130206119000011"/>
    <hyperlink ref="Q59" r:id="rId5"/>
    <hyperlink ref="Q62" r:id="rId6"/>
    <hyperlink ref="Q52" r:id="rId7"/>
    <hyperlink ref="Q18" r:id="rId8"/>
    <hyperlink ref="Q31" r:id="rId9"/>
    <hyperlink ref="Q6" r:id="rId10"/>
    <hyperlink ref="Q7" r:id="rId11"/>
    <hyperlink ref="Q8" r:id="rId12"/>
    <hyperlink ref="Q9" r:id="rId13"/>
    <hyperlink ref="Q10" r:id="rId14"/>
    <hyperlink ref="Q19" r:id="rId15"/>
    <hyperlink ref="Q20" r:id="rId16"/>
    <hyperlink ref="Q21" r:id="rId17"/>
    <hyperlink ref="Q32" r:id="rId18"/>
    <hyperlink ref="Q33" r:id="rId19"/>
    <hyperlink ref="Q35" r:id="rId20"/>
    <hyperlink ref="Q36" r:id="rId21"/>
    <hyperlink ref="Q38" r:id="rId22"/>
    <hyperlink ref="Q34" r:id="rId23"/>
    <hyperlink ref="Q37" r:id="rId24"/>
    <hyperlink ref="Q60" r:id="rId25"/>
    <hyperlink ref="Q43" r:id="rId26"/>
    <hyperlink ref="Q44" r:id="rId27"/>
    <hyperlink ref="Q45" r:id="rId28"/>
    <hyperlink ref="Q46" r:id="rId29"/>
    <hyperlink ref="Q53" r:id="rId30"/>
    <hyperlink ref="Q54" r:id="rId31"/>
    <hyperlink ref="Q55" r:id="rId32"/>
    <hyperlink ref="Q56" r:id="rId33"/>
    <hyperlink ref="Q47" r:id="rId34"/>
    <hyperlink ref="Q48" r:id="rId35"/>
    <hyperlink ref="Q49" r:id="rId36"/>
    <hyperlink ref="Q50" r:id="rId37"/>
    <hyperlink ref="Q51" r:id="rId38"/>
    <hyperlink ref="Q11" r:id="rId39"/>
    <hyperlink ref="Q12" r:id="rId40"/>
    <hyperlink ref="Q13" r:id="rId41"/>
    <hyperlink ref="Q14" r:id="rId42"/>
    <hyperlink ref="Q22" r:id="rId43"/>
    <hyperlink ref="Q23" r:id="rId44"/>
    <hyperlink ref="Q39" r:id="rId45"/>
    <hyperlink ref="Q57" r:id="rId46"/>
    <hyperlink ref="Q58" r:id="rId47"/>
    <hyperlink ref="Q61" r:id="rId48"/>
    <hyperlink ref="Q64" r:id="rId49"/>
    <hyperlink ref="Q63" r:id="rId50"/>
    <hyperlink ref="Q66" r:id="rId51"/>
    <hyperlink ref="Q67" r:id="rId52"/>
    <hyperlink ref="Q69" r:id="rId53"/>
    <hyperlink ref="Q72" r:id="rId54"/>
    <hyperlink ref="Q71" r:id="rId55"/>
    <hyperlink ref="Q70" r:id="rId56"/>
    <hyperlink ref="Q74" r:id="rId57"/>
    <hyperlink ref="Q73" r:id="rId58"/>
    <hyperlink ref="Q4" r:id="rId59" location="130206119000011"/>
    <hyperlink ref="Q5" r:id="rId60" location="130206119000011"/>
  </hyperlinks>
  <pageMargins left="0.74803149606299213" right="0.74803149606299213" top="0.98425196850393704" bottom="0.98425196850393704" header="0.51181102362204722" footer="0.51181102362204722"/>
  <pageSetup paperSize="8" scale="44" orientation="landscape" r:id="rId61"/>
  <headerFooter alignWithMargins="0"/>
  <legacyDrawing r:id="rId6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70"/>
  <sheetViews>
    <sheetView showGridLines="0" zoomScale="80" zoomScaleNormal="80" workbookViewId="0">
      <pane xSplit="4" ySplit="2" topLeftCell="E3" activePane="bottomRight" state="frozen"/>
      <selection pane="topRight" activeCell="E1" sqref="E1"/>
      <selection pane="bottomLeft" activeCell="A3" sqref="A3"/>
      <selection pane="bottomRight" sqref="A1:A2"/>
    </sheetView>
  </sheetViews>
  <sheetFormatPr defaultRowHeight="12.75" outlineLevelRow="2" x14ac:dyDescent="0.2"/>
  <cols>
    <col min="1" max="1" width="12.625" style="87" customWidth="1"/>
    <col min="2" max="2" width="14.125" style="87" customWidth="1"/>
    <col min="3" max="3" width="8.5" style="87" customWidth="1"/>
    <col min="4" max="4" width="43.25" style="87" customWidth="1"/>
    <col min="5" max="5" width="15" style="87" customWidth="1"/>
    <col min="6" max="6" width="16" style="87" customWidth="1"/>
    <col min="7" max="7" width="15.75" style="87" customWidth="1"/>
    <col min="8" max="8" width="12.5" style="87" bestFit="1" customWidth="1"/>
    <col min="9" max="9" width="10" style="87" customWidth="1"/>
    <col min="10" max="11" width="12.5" style="87" bestFit="1" customWidth="1"/>
    <col min="12" max="12" width="10" style="87" customWidth="1"/>
    <col min="13" max="14" width="12.5" style="87" bestFit="1" customWidth="1"/>
    <col min="15" max="15" width="10" style="87" customWidth="1"/>
    <col min="16" max="16" width="12.5" style="87" bestFit="1" customWidth="1"/>
    <col min="17" max="17" width="46.125" style="87" customWidth="1"/>
    <col min="18" max="18" width="12.5" style="79" customWidth="1"/>
    <col min="19" max="19" width="78.25" style="87" customWidth="1"/>
    <col min="20" max="20" width="10.125" style="87" customWidth="1"/>
    <col min="21" max="21" width="20.875" style="87" customWidth="1"/>
    <col min="22" max="16384" width="9" style="87"/>
  </cols>
  <sheetData>
    <row r="1" spans="1:21" s="51" customFormat="1" ht="31.5" customHeight="1" x14ac:dyDescent="0.2">
      <c r="A1" s="182" t="s">
        <v>715</v>
      </c>
      <c r="B1" s="178" t="s">
        <v>716</v>
      </c>
      <c r="C1" s="178" t="s">
        <v>1409</v>
      </c>
      <c r="D1" s="178" t="s">
        <v>717</v>
      </c>
      <c r="E1" s="178" t="s">
        <v>644</v>
      </c>
      <c r="F1" s="178" t="s">
        <v>1778</v>
      </c>
      <c r="G1" s="178"/>
      <c r="H1" s="178" t="s">
        <v>1859</v>
      </c>
      <c r="I1" s="178"/>
      <c r="J1" s="178"/>
      <c r="K1" s="178" t="s">
        <v>1860</v>
      </c>
      <c r="L1" s="178"/>
      <c r="M1" s="178"/>
      <c r="N1" s="178" t="s">
        <v>1861</v>
      </c>
      <c r="O1" s="178"/>
      <c r="P1" s="178"/>
      <c r="Q1" s="178" t="s">
        <v>643</v>
      </c>
      <c r="R1" s="178" t="s">
        <v>966</v>
      </c>
      <c r="S1" s="178" t="s">
        <v>1408</v>
      </c>
      <c r="T1" s="178" t="s">
        <v>68</v>
      </c>
      <c r="U1" s="185"/>
    </row>
    <row r="2" spans="1:21" s="51" customFormat="1" ht="30" customHeight="1" collapsed="1" x14ac:dyDescent="0.2">
      <c r="A2" s="183"/>
      <c r="B2" s="184"/>
      <c r="C2" s="184"/>
      <c r="D2" s="184"/>
      <c r="E2" s="184"/>
      <c r="F2" s="107" t="s">
        <v>672</v>
      </c>
      <c r="G2" s="107" t="s">
        <v>673</v>
      </c>
      <c r="H2" s="107" t="s">
        <v>718</v>
      </c>
      <c r="I2" s="107" t="s">
        <v>648</v>
      </c>
      <c r="J2" s="107" t="s">
        <v>1403</v>
      </c>
      <c r="K2" s="107" t="s">
        <v>718</v>
      </c>
      <c r="L2" s="107" t="s">
        <v>648</v>
      </c>
      <c r="M2" s="107" t="s">
        <v>1403</v>
      </c>
      <c r="N2" s="107" t="s">
        <v>718</v>
      </c>
      <c r="O2" s="107" t="s">
        <v>648</v>
      </c>
      <c r="P2" s="107" t="s">
        <v>1403</v>
      </c>
      <c r="Q2" s="184"/>
      <c r="R2" s="184"/>
      <c r="S2" s="184"/>
      <c r="T2" s="108" t="s">
        <v>1910</v>
      </c>
      <c r="U2" s="109" t="s">
        <v>1909</v>
      </c>
    </row>
    <row r="3" spans="1:21" s="40" customFormat="1" ht="60" customHeight="1" x14ac:dyDescent="0.2">
      <c r="A3" s="42" t="s">
        <v>695</v>
      </c>
      <c r="B3" s="42" t="s">
        <v>685</v>
      </c>
      <c r="C3" s="42" t="s">
        <v>1617</v>
      </c>
      <c r="D3" s="42" t="s">
        <v>1093</v>
      </c>
      <c r="E3" s="13" t="s">
        <v>637</v>
      </c>
      <c r="F3" s="13" t="s">
        <v>712</v>
      </c>
      <c r="G3" s="13" t="s">
        <v>712</v>
      </c>
      <c r="H3" s="15">
        <v>3079</v>
      </c>
      <c r="I3" s="17" t="s">
        <v>662</v>
      </c>
      <c r="J3" s="19">
        <f>IF(H3&gt;0,(H3*VLOOKUP(Lookups!$K$11,Lookups!$M$10:$P$40,4,0)/VLOOKUP(I3,Lookups!$M$10:$P$40,4,0)),"")</f>
        <v>3535.8398855252872</v>
      </c>
      <c r="K3" s="15">
        <v>2713</v>
      </c>
      <c r="L3" s="17" t="s">
        <v>662</v>
      </c>
      <c r="M3" s="19">
        <f>IF(K3&gt;0,(K3*VLOOKUP(Lookups!$K$11,Lookups!$M$10:$P$40,4,0)/VLOOKUP(L3,Lookups!$M$10:$P$40,4,0)),"")</f>
        <v>3115.5354366450483</v>
      </c>
      <c r="N3" s="15"/>
      <c r="O3" s="17"/>
      <c r="P3" s="19" t="str">
        <f>IF(N3&gt;0,(N3*VLOOKUP(Lookups!$K$11,Lookups!$M$10:$P$40,4,0)/VLOOKUP(O3,Lookups!$M$10:$P$40,4,0)),"")</f>
        <v/>
      </c>
      <c r="Q3" s="95" t="s">
        <v>1094</v>
      </c>
      <c r="R3" s="38" t="s">
        <v>619</v>
      </c>
      <c r="S3" s="13" t="s">
        <v>2049</v>
      </c>
      <c r="T3" s="13" t="s">
        <v>1912</v>
      </c>
      <c r="U3" s="13" t="s">
        <v>2215</v>
      </c>
    </row>
    <row r="4" spans="1:21" s="90" customFormat="1" ht="60" hidden="1" customHeight="1" outlineLevel="2" x14ac:dyDescent="0.2">
      <c r="A4" s="37" t="s">
        <v>695</v>
      </c>
      <c r="B4" s="37" t="s">
        <v>685</v>
      </c>
      <c r="C4" s="37" t="s">
        <v>1618</v>
      </c>
      <c r="D4" s="45" t="s">
        <v>1095</v>
      </c>
      <c r="E4" s="37" t="s">
        <v>637</v>
      </c>
      <c r="F4" s="37" t="s">
        <v>712</v>
      </c>
      <c r="G4" s="37" t="s">
        <v>712</v>
      </c>
      <c r="H4" s="89">
        <v>972</v>
      </c>
      <c r="I4" s="17" t="s">
        <v>662</v>
      </c>
      <c r="J4" s="19">
        <f>IF(H4&gt;0,(H4*VLOOKUP(Lookups!$K$11,Lookups!$M$10:$P$40,4,0)/VLOOKUP(I4,Lookups!$M$10:$P$40,4,0)),"")</f>
        <v>1116.2183724360439</v>
      </c>
      <c r="K4" s="89"/>
      <c r="L4" s="17"/>
      <c r="M4" s="19" t="str">
        <f>IF(K4&gt;0,(K4*VLOOKUP(Lookups!$K$11,Lookups!$M$10:$P$40,4,0)/VLOOKUP(L4,Lookups!$M$10:$P$40,4,0)),"")</f>
        <v/>
      </c>
      <c r="N4" s="89"/>
      <c r="O4" s="17"/>
      <c r="P4" s="19" t="str">
        <f>IF(N4&gt;0,(N4*VLOOKUP(Lookups!$K$11,Lookups!$M$10:$P$40,4,0)/VLOOKUP(O4,Lookups!$M$10:$P$40,4,0)),"")</f>
        <v/>
      </c>
      <c r="Q4" s="95" t="s">
        <v>1094</v>
      </c>
      <c r="R4" s="38" t="s">
        <v>619</v>
      </c>
      <c r="S4" s="37" t="s">
        <v>1160</v>
      </c>
      <c r="T4" s="37"/>
      <c r="U4" s="37"/>
    </row>
    <row r="5" spans="1:21" s="90" customFormat="1" ht="60" hidden="1" customHeight="1" outlineLevel="2" x14ac:dyDescent="0.2">
      <c r="A5" s="37" t="s">
        <v>695</v>
      </c>
      <c r="B5" s="37" t="s">
        <v>685</v>
      </c>
      <c r="C5" s="37" t="s">
        <v>1619</v>
      </c>
      <c r="D5" s="45" t="s">
        <v>1161</v>
      </c>
      <c r="E5" s="37" t="s">
        <v>637</v>
      </c>
      <c r="F5" s="37" t="s">
        <v>712</v>
      </c>
      <c r="G5" s="37" t="s">
        <v>712</v>
      </c>
      <c r="H5" s="89">
        <v>1499</v>
      </c>
      <c r="I5" s="17" t="s">
        <v>662</v>
      </c>
      <c r="J5" s="19">
        <f>IF(H5&gt;0,(H5*VLOOKUP(Lookups!$K$11,Lookups!$M$10:$P$40,4,0)/VLOOKUP(I5,Lookups!$M$10:$P$40,4,0)),"")</f>
        <v>1721.4108439111417</v>
      </c>
      <c r="K5" s="89"/>
      <c r="L5" s="17"/>
      <c r="M5" s="19" t="str">
        <f>IF(K5&gt;0,(K5*VLOOKUP(Lookups!$K$11,Lookups!$M$10:$P$40,4,0)/VLOOKUP(L5,Lookups!$M$10:$P$40,4,0)),"")</f>
        <v/>
      </c>
      <c r="N5" s="89"/>
      <c r="O5" s="17"/>
      <c r="P5" s="19" t="str">
        <f>IF(N5&gt;0,(N5*VLOOKUP(Lookups!$K$11,Lookups!$M$10:$P$40,4,0)/VLOOKUP(O5,Lookups!$M$10:$P$40,4,0)),"")</f>
        <v/>
      </c>
      <c r="Q5" s="95" t="s">
        <v>1094</v>
      </c>
      <c r="R5" s="38" t="s">
        <v>619</v>
      </c>
      <c r="S5" s="37" t="s">
        <v>1162</v>
      </c>
      <c r="T5" s="37"/>
      <c r="U5" s="37"/>
    </row>
    <row r="6" spans="1:21" s="90" customFormat="1" ht="60" hidden="1" customHeight="1" outlineLevel="2" x14ac:dyDescent="0.2">
      <c r="A6" s="37" t="s">
        <v>695</v>
      </c>
      <c r="B6" s="37" t="s">
        <v>685</v>
      </c>
      <c r="C6" s="37" t="s">
        <v>1620</v>
      </c>
      <c r="D6" s="45" t="s">
        <v>1163</v>
      </c>
      <c r="E6" s="37" t="s">
        <v>637</v>
      </c>
      <c r="F6" s="37" t="s">
        <v>614</v>
      </c>
      <c r="G6" s="37"/>
      <c r="H6" s="89">
        <v>210</v>
      </c>
      <c r="I6" s="17" t="s">
        <v>662</v>
      </c>
      <c r="J6" s="19">
        <f>IF(H6&gt;0,(H6*VLOOKUP(Lookups!$K$11,Lookups!$M$10:$P$40,4,0)/VLOOKUP(I6,Lookups!$M$10:$P$40,4,0)),"")</f>
        <v>241.15829034112056</v>
      </c>
      <c r="K6" s="89"/>
      <c r="L6" s="17"/>
      <c r="M6" s="19" t="str">
        <f>IF(K6&gt;0,(K6*VLOOKUP(Lookups!$K$11,Lookups!$M$10:$P$40,4,0)/VLOOKUP(L6,Lookups!$M$10:$P$40,4,0)),"")</f>
        <v/>
      </c>
      <c r="N6" s="89"/>
      <c r="O6" s="17"/>
      <c r="P6" s="19" t="str">
        <f>IF(N6&gt;0,(N6*VLOOKUP(Lookups!$K$11,Lookups!$M$10:$P$40,4,0)/VLOOKUP(O6,Lookups!$M$10:$P$40,4,0)),"")</f>
        <v/>
      </c>
      <c r="Q6" s="95" t="s">
        <v>1094</v>
      </c>
      <c r="R6" s="38" t="s">
        <v>619</v>
      </c>
      <c r="S6" s="37" t="s">
        <v>782</v>
      </c>
      <c r="T6" s="37"/>
      <c r="U6" s="37"/>
    </row>
    <row r="7" spans="1:21" s="90" customFormat="1" ht="60" hidden="1" customHeight="1" outlineLevel="2" x14ac:dyDescent="0.2">
      <c r="A7" s="37" t="s">
        <v>695</v>
      </c>
      <c r="B7" s="37" t="s">
        <v>685</v>
      </c>
      <c r="C7" s="37" t="s">
        <v>1621</v>
      </c>
      <c r="D7" s="45" t="s">
        <v>783</v>
      </c>
      <c r="E7" s="37" t="s">
        <v>637</v>
      </c>
      <c r="F7" s="37" t="s">
        <v>1348</v>
      </c>
      <c r="G7" s="37"/>
      <c r="H7" s="89">
        <v>17</v>
      </c>
      <c r="I7" s="17" t="s">
        <v>662</v>
      </c>
      <c r="J7" s="19">
        <f>IF(H7&gt;0,(H7*VLOOKUP(Lookups!$K$11,Lookups!$M$10:$P$40,4,0)/VLOOKUP(I7,Lookups!$M$10:$P$40,4,0)),"")</f>
        <v>19.522337789519288</v>
      </c>
      <c r="K7" s="89"/>
      <c r="L7" s="17"/>
      <c r="M7" s="19" t="str">
        <f>IF(K7&gt;0,(K7*VLOOKUP(Lookups!$K$11,Lookups!$M$10:$P$40,4,0)/VLOOKUP(L7,Lookups!$M$10:$P$40,4,0)),"")</f>
        <v/>
      </c>
      <c r="N7" s="89"/>
      <c r="O7" s="17"/>
      <c r="P7" s="19" t="str">
        <f>IF(N7&gt;0,(N7*VLOOKUP(Lookups!$K$11,Lookups!$M$10:$P$40,4,0)/VLOOKUP(O7,Lookups!$M$10:$P$40,4,0)),"")</f>
        <v/>
      </c>
      <c r="Q7" s="95" t="s">
        <v>1094</v>
      </c>
      <c r="R7" s="38" t="s">
        <v>619</v>
      </c>
      <c r="S7" s="37" t="s">
        <v>784</v>
      </c>
      <c r="T7" s="37"/>
      <c r="U7" s="37"/>
    </row>
    <row r="8" spans="1:21" s="90" customFormat="1" ht="60" hidden="1" customHeight="1" outlineLevel="2" x14ac:dyDescent="0.2">
      <c r="A8" s="37" t="s">
        <v>695</v>
      </c>
      <c r="B8" s="37" t="s">
        <v>685</v>
      </c>
      <c r="C8" s="37" t="s">
        <v>1622</v>
      </c>
      <c r="D8" s="45" t="s">
        <v>785</v>
      </c>
      <c r="E8" s="37" t="s">
        <v>637</v>
      </c>
      <c r="F8" s="37" t="s">
        <v>1348</v>
      </c>
      <c r="G8" s="37"/>
      <c r="H8" s="89">
        <v>103</v>
      </c>
      <c r="I8" s="17" t="s">
        <v>662</v>
      </c>
      <c r="J8" s="19">
        <f>IF(H8&gt;0,(H8*VLOOKUP(Lookups!$K$11,Lookups!$M$10:$P$40,4,0)/VLOOKUP(I8,Lookups!$M$10:$P$40,4,0)),"")</f>
        <v>118.28239954826391</v>
      </c>
      <c r="K8" s="89"/>
      <c r="L8" s="17"/>
      <c r="M8" s="19" t="str">
        <f>IF(K8&gt;0,(K8*VLOOKUP(Lookups!$K$11,Lookups!$M$10:$P$40,4,0)/VLOOKUP(L8,Lookups!$M$10:$P$40,4,0)),"")</f>
        <v/>
      </c>
      <c r="N8" s="89"/>
      <c r="O8" s="17"/>
      <c r="P8" s="19" t="str">
        <f>IF(N8&gt;0,(N8*VLOOKUP(Lookups!$K$11,Lookups!$M$10:$P$40,4,0)/VLOOKUP(O8,Lookups!$M$10:$P$40,4,0)),"")</f>
        <v/>
      </c>
      <c r="Q8" s="95" t="s">
        <v>1094</v>
      </c>
      <c r="R8" s="38" t="s">
        <v>619</v>
      </c>
      <c r="S8" s="37" t="s">
        <v>786</v>
      </c>
      <c r="T8" s="37"/>
      <c r="U8" s="37"/>
    </row>
    <row r="9" spans="1:21" s="90" customFormat="1" ht="60" hidden="1" customHeight="1" outlineLevel="2" x14ac:dyDescent="0.2">
      <c r="A9" s="37" t="s">
        <v>695</v>
      </c>
      <c r="B9" s="37" t="s">
        <v>685</v>
      </c>
      <c r="C9" s="37" t="s">
        <v>1623</v>
      </c>
      <c r="D9" s="45" t="s">
        <v>787</v>
      </c>
      <c r="E9" s="37" t="s">
        <v>637</v>
      </c>
      <c r="F9" s="37" t="s">
        <v>1348</v>
      </c>
      <c r="G9" s="37"/>
      <c r="H9" s="89">
        <v>278</v>
      </c>
      <c r="I9" s="17" t="s">
        <v>662</v>
      </c>
      <c r="J9" s="19">
        <f>IF(H9&gt;0,(H9*VLOOKUP(Lookups!$K$11,Lookups!$M$10:$P$40,4,0)/VLOOKUP(I9,Lookups!$M$10:$P$40,4,0)),"")</f>
        <v>319.24764149919775</v>
      </c>
      <c r="K9" s="89"/>
      <c r="L9" s="17"/>
      <c r="M9" s="19" t="str">
        <f>IF(K9&gt;0,(K9*VLOOKUP(Lookups!$K$11,Lookups!$M$10:$P$40,4,0)/VLOOKUP(L9,Lookups!$M$10:$P$40,4,0)),"")</f>
        <v/>
      </c>
      <c r="N9" s="89"/>
      <c r="O9" s="17"/>
      <c r="P9" s="19" t="str">
        <f>IF(N9&gt;0,(N9*VLOOKUP(Lookups!$K$11,Lookups!$M$10:$P$40,4,0)/VLOOKUP(O9,Lookups!$M$10:$P$40,4,0)),"")</f>
        <v/>
      </c>
      <c r="Q9" s="95" t="s">
        <v>1094</v>
      </c>
      <c r="R9" s="38" t="s">
        <v>619</v>
      </c>
      <c r="S9" s="37" t="s">
        <v>788</v>
      </c>
      <c r="T9" s="37"/>
      <c r="U9" s="37"/>
    </row>
    <row r="10" spans="1:21" s="40" customFormat="1" ht="60" customHeight="1" collapsed="1" x14ac:dyDescent="0.2">
      <c r="A10" s="42" t="s">
        <v>695</v>
      </c>
      <c r="B10" s="42" t="s">
        <v>685</v>
      </c>
      <c r="C10" s="42" t="s">
        <v>1624</v>
      </c>
      <c r="D10" s="42" t="s">
        <v>789</v>
      </c>
      <c r="E10" s="13" t="s">
        <v>637</v>
      </c>
      <c r="F10" s="13" t="s">
        <v>675</v>
      </c>
      <c r="G10" s="13"/>
      <c r="H10" s="15">
        <v>3186</v>
      </c>
      <c r="I10" s="17" t="s">
        <v>662</v>
      </c>
      <c r="J10" s="19">
        <f>IF(H10&gt;0,(H10*VLOOKUP(Lookups!$K$11,Lookups!$M$10:$P$40,4,0)/VLOOKUP(I10,Lookups!$M$10:$P$40,4,0)),"")</f>
        <v>3658.7157763181435</v>
      </c>
      <c r="K10" s="15"/>
      <c r="L10" s="17"/>
      <c r="M10" s="19" t="str">
        <f>IF(K10&gt;0,(K10*VLOOKUP(Lookups!$K$11,Lookups!$M$10:$P$40,4,0)/VLOOKUP(L10,Lookups!$M$10:$P$40,4,0)),"")</f>
        <v/>
      </c>
      <c r="N10" s="15"/>
      <c r="O10" s="17"/>
      <c r="P10" s="19" t="str">
        <f>IF(N10&gt;0,(N10*VLOOKUP(Lookups!$K$11,Lookups!$M$10:$P$40,4,0)/VLOOKUP(O10,Lookups!$M$10:$P$40,4,0)),"")</f>
        <v/>
      </c>
      <c r="Q10" s="95" t="s">
        <v>1094</v>
      </c>
      <c r="R10" s="38" t="s">
        <v>619</v>
      </c>
      <c r="S10" s="13" t="s">
        <v>1739</v>
      </c>
      <c r="T10" s="13"/>
      <c r="U10" s="13"/>
    </row>
    <row r="11" spans="1:21" s="90" customFormat="1" ht="60" hidden="1" customHeight="1" outlineLevel="1" x14ac:dyDescent="0.2">
      <c r="A11" s="46" t="s">
        <v>695</v>
      </c>
      <c r="B11" s="46" t="s">
        <v>685</v>
      </c>
      <c r="C11" s="46" t="s">
        <v>1625</v>
      </c>
      <c r="D11" s="46" t="s">
        <v>790</v>
      </c>
      <c r="E11" s="37" t="s">
        <v>637</v>
      </c>
      <c r="F11" s="37" t="s">
        <v>675</v>
      </c>
      <c r="G11" s="37"/>
      <c r="H11" s="89">
        <v>3120</v>
      </c>
      <c r="I11" s="17" t="s">
        <v>662</v>
      </c>
      <c r="J11" s="19">
        <f>IF(H11&gt;0,(H11*VLOOKUP(Lookups!$K$11,Lookups!$M$10:$P$40,4,0)/VLOOKUP(I11,Lookups!$M$10:$P$40,4,0)),"")</f>
        <v>3582.9231707823628</v>
      </c>
      <c r="K11" s="89"/>
      <c r="L11" s="17"/>
      <c r="M11" s="19" t="str">
        <f>IF(K11&gt;0,(K11*VLOOKUP(Lookups!$K$11,Lookups!$M$10:$P$40,4,0)/VLOOKUP(L11,Lookups!$M$10:$P$40,4,0)),"")</f>
        <v/>
      </c>
      <c r="N11" s="89"/>
      <c r="O11" s="17"/>
      <c r="P11" s="19" t="str">
        <f>IF(N11&gt;0,(N11*VLOOKUP(Lookups!$K$11,Lookups!$M$10:$P$40,4,0)/VLOOKUP(O11,Lookups!$M$10:$P$40,4,0)),"")</f>
        <v/>
      </c>
      <c r="Q11" s="95" t="s">
        <v>791</v>
      </c>
      <c r="R11" s="38" t="s">
        <v>619</v>
      </c>
      <c r="S11" s="37" t="s">
        <v>1740</v>
      </c>
      <c r="T11" s="37"/>
      <c r="U11" s="37"/>
    </row>
    <row r="12" spans="1:21" s="90" customFormat="1" ht="60" hidden="1" customHeight="1" outlineLevel="1" x14ac:dyDescent="0.2">
      <c r="A12" s="46" t="s">
        <v>695</v>
      </c>
      <c r="B12" s="46" t="s">
        <v>685</v>
      </c>
      <c r="C12" s="46" t="s">
        <v>1626</v>
      </c>
      <c r="D12" s="46" t="s">
        <v>792</v>
      </c>
      <c r="E12" s="37" t="s">
        <v>637</v>
      </c>
      <c r="F12" s="37" t="s">
        <v>614</v>
      </c>
      <c r="G12" s="37" t="s">
        <v>793</v>
      </c>
      <c r="H12" s="89">
        <v>2137</v>
      </c>
      <c r="I12" s="17" t="s">
        <v>662</v>
      </c>
      <c r="J12" s="19">
        <f>IF(H12&gt;0,(H12*VLOOKUP(Lookups!$K$11,Lookups!$M$10:$P$40,4,0)/VLOOKUP(I12,Lookups!$M$10:$P$40,4,0)),"")</f>
        <v>2454.0726974236886</v>
      </c>
      <c r="K12" s="89"/>
      <c r="L12" s="17"/>
      <c r="M12" s="19" t="str">
        <f>IF(K12&gt;0,(K12*VLOOKUP(Lookups!$K$11,Lookups!$M$10:$P$40,4,0)/VLOOKUP(L12,Lookups!$M$10:$P$40,4,0)),"")</f>
        <v/>
      </c>
      <c r="N12" s="89"/>
      <c r="O12" s="17"/>
      <c r="P12" s="19" t="str">
        <f>IF(N12&gt;0,(N12*VLOOKUP(Lookups!$K$11,Lookups!$M$10:$P$40,4,0)/VLOOKUP(O12,Lookups!$M$10:$P$40,4,0)),"")</f>
        <v/>
      </c>
      <c r="Q12" s="95" t="s">
        <v>794</v>
      </c>
      <c r="R12" s="38" t="s">
        <v>619</v>
      </c>
      <c r="S12" s="37" t="s">
        <v>795</v>
      </c>
      <c r="T12" s="37"/>
      <c r="U12" s="37"/>
    </row>
    <row r="13" spans="1:21" s="40" customFormat="1" ht="60" customHeight="1" collapsed="1" x14ac:dyDescent="0.2">
      <c r="A13" s="42" t="s">
        <v>695</v>
      </c>
      <c r="B13" s="42" t="s">
        <v>697</v>
      </c>
      <c r="C13" s="42" t="s">
        <v>1627</v>
      </c>
      <c r="D13" s="42" t="s">
        <v>796</v>
      </c>
      <c r="E13" s="13" t="s">
        <v>637</v>
      </c>
      <c r="F13" s="13" t="s">
        <v>712</v>
      </c>
      <c r="G13" s="13" t="s">
        <v>712</v>
      </c>
      <c r="H13" s="15">
        <v>44523</v>
      </c>
      <c r="I13" s="17" t="s">
        <v>662</v>
      </c>
      <c r="J13" s="19">
        <f>IF(H13&gt;0,(H13*VLOOKUP(Lookups!$K$11,Lookups!$M$10:$P$40,4,0)/VLOOKUP(I13,Lookups!$M$10:$P$40,4,0)),"")</f>
        <v>51129.002670751004</v>
      </c>
      <c r="K13" s="15"/>
      <c r="L13" s="17"/>
      <c r="M13" s="19" t="str">
        <f>IF(K13&gt;0,(K13*VLOOKUP(Lookups!$K$11,Lookups!$M$10:$P$40,4,0)/VLOOKUP(L13,Lookups!$M$10:$P$40,4,0)),"")</f>
        <v/>
      </c>
      <c r="N13" s="15"/>
      <c r="O13" s="17"/>
      <c r="P13" s="19" t="str">
        <f>IF(N13&gt;0,(N13*VLOOKUP(Lookups!$K$11,Lookups!$M$10:$P$40,4,0)/VLOOKUP(O13,Lookups!$M$10:$P$40,4,0)),"")</f>
        <v/>
      </c>
      <c r="Q13" s="95" t="s">
        <v>797</v>
      </c>
      <c r="R13" s="38" t="s">
        <v>619</v>
      </c>
      <c r="S13" s="13" t="s">
        <v>798</v>
      </c>
      <c r="T13" s="13"/>
      <c r="U13" s="13"/>
    </row>
    <row r="14" spans="1:21" s="40" customFormat="1" ht="60" customHeight="1" x14ac:dyDescent="0.2">
      <c r="A14" s="42" t="s">
        <v>695</v>
      </c>
      <c r="B14" s="42" t="s">
        <v>697</v>
      </c>
      <c r="C14" s="42" t="s">
        <v>1628</v>
      </c>
      <c r="D14" s="42" t="s">
        <v>799</v>
      </c>
      <c r="E14" s="13" t="s">
        <v>637</v>
      </c>
      <c r="F14" s="13" t="s">
        <v>712</v>
      </c>
      <c r="G14" s="13" t="s">
        <v>712</v>
      </c>
      <c r="H14" s="15">
        <v>75881</v>
      </c>
      <c r="I14" s="17" t="s">
        <v>662</v>
      </c>
      <c r="J14" s="19">
        <f>IF(H14&gt;0,(H14*VLOOKUP(Lookups!$K$11,Lookups!$M$10:$P$40,4,0)/VLOOKUP(I14,Lookups!$M$10:$P$40,4,0)),"")</f>
        <v>87139.677282736055</v>
      </c>
      <c r="K14" s="15"/>
      <c r="L14" s="17"/>
      <c r="M14" s="19" t="str">
        <f>IF(K14&gt;0,(K14*VLOOKUP(Lookups!$K$11,Lookups!$M$10:$P$40,4,0)/VLOOKUP(L14,Lookups!$M$10:$P$40,4,0)),"")</f>
        <v/>
      </c>
      <c r="N14" s="15"/>
      <c r="O14" s="17"/>
      <c r="P14" s="19" t="str">
        <f>IF(N14&gt;0,(N14*VLOOKUP(Lookups!$K$11,Lookups!$M$10:$P$40,4,0)/VLOOKUP(O14,Lookups!$M$10:$P$40,4,0)),"")</f>
        <v/>
      </c>
      <c r="Q14" s="95" t="s">
        <v>797</v>
      </c>
      <c r="R14" s="38" t="s">
        <v>619</v>
      </c>
      <c r="S14" s="13" t="s">
        <v>798</v>
      </c>
      <c r="T14" s="13"/>
      <c r="U14" s="13"/>
    </row>
    <row r="15" spans="1:21" s="40" customFormat="1" ht="60" customHeight="1" x14ac:dyDescent="0.2">
      <c r="A15" s="42" t="s">
        <v>695</v>
      </c>
      <c r="B15" s="42" t="s">
        <v>697</v>
      </c>
      <c r="C15" s="42" t="s">
        <v>1629</v>
      </c>
      <c r="D15" s="42" t="s">
        <v>800</v>
      </c>
      <c r="E15" s="13" t="s">
        <v>637</v>
      </c>
      <c r="F15" s="13" t="s">
        <v>712</v>
      </c>
      <c r="G15" s="13" t="s">
        <v>712</v>
      </c>
      <c r="H15" s="15">
        <v>63853</v>
      </c>
      <c r="I15" s="17" t="s">
        <v>662</v>
      </c>
      <c r="J15" s="19">
        <f>IF(H15&gt;0,(H15*VLOOKUP(Lookups!$K$11,Lookups!$M$10:$P$40,4,0)/VLOOKUP(I15,Lookups!$M$10:$P$40,4,0)),"")</f>
        <v>73327.049110245585</v>
      </c>
      <c r="K15" s="15"/>
      <c r="L15" s="17"/>
      <c r="M15" s="19" t="str">
        <f>IF(K15&gt;0,(K15*VLOOKUP(Lookups!$K$11,Lookups!$M$10:$P$40,4,0)/VLOOKUP(L15,Lookups!$M$10:$P$40,4,0)),"")</f>
        <v/>
      </c>
      <c r="N15" s="15"/>
      <c r="O15" s="17"/>
      <c r="P15" s="19" t="str">
        <f>IF(N15&gt;0,(N15*VLOOKUP(Lookups!$K$11,Lookups!$M$10:$P$40,4,0)/VLOOKUP(O15,Lookups!$M$10:$P$40,4,0)),"")</f>
        <v/>
      </c>
      <c r="Q15" s="95" t="s">
        <v>797</v>
      </c>
      <c r="R15" s="38" t="s">
        <v>619</v>
      </c>
      <c r="S15" s="13" t="s">
        <v>798</v>
      </c>
      <c r="T15" s="13"/>
      <c r="U15" s="13"/>
    </row>
    <row r="16" spans="1:21" s="40" customFormat="1" ht="60" customHeight="1" x14ac:dyDescent="0.2">
      <c r="A16" s="42" t="s">
        <v>695</v>
      </c>
      <c r="B16" s="42" t="s">
        <v>698</v>
      </c>
      <c r="C16" s="42" t="s">
        <v>1630</v>
      </c>
      <c r="D16" s="42" t="s">
        <v>801</v>
      </c>
      <c r="E16" s="13" t="s">
        <v>637</v>
      </c>
      <c r="F16" s="13" t="s">
        <v>712</v>
      </c>
      <c r="G16" s="13" t="s">
        <v>712</v>
      </c>
      <c r="H16" s="15">
        <v>6412</v>
      </c>
      <c r="I16" s="17" t="s">
        <v>662</v>
      </c>
      <c r="J16" s="19">
        <f>IF(H16&gt;0,(H16*VLOOKUP(Lookups!$K$11,Lookups!$M$10:$P$40,4,0)/VLOOKUP(I16,Lookups!$M$10:$P$40,4,0)),"")</f>
        <v>7363.3664650822157</v>
      </c>
      <c r="K16" s="15"/>
      <c r="L16" s="17"/>
      <c r="M16" s="19" t="str">
        <f>IF(K16&gt;0,(K16*VLOOKUP(Lookups!$K$11,Lookups!$M$10:$P$40,4,0)/VLOOKUP(L16,Lookups!$M$10:$P$40,4,0)),"")</f>
        <v/>
      </c>
      <c r="N16" s="15"/>
      <c r="O16" s="17"/>
      <c r="P16" s="19" t="str">
        <f>IF(N16&gt;0,(N16*VLOOKUP(Lookups!$K$11,Lookups!$M$10:$P$40,4,0)/VLOOKUP(O16,Lookups!$M$10:$P$40,4,0)),"")</f>
        <v/>
      </c>
      <c r="Q16" s="95" t="s">
        <v>797</v>
      </c>
      <c r="R16" s="38" t="s">
        <v>619</v>
      </c>
      <c r="S16" s="13" t="s">
        <v>802</v>
      </c>
      <c r="T16" s="13"/>
      <c r="U16" s="13"/>
    </row>
    <row r="17" spans="1:21" s="40" customFormat="1" ht="60" customHeight="1" x14ac:dyDescent="0.2">
      <c r="A17" s="42" t="s">
        <v>695</v>
      </c>
      <c r="B17" s="42" t="s">
        <v>1421</v>
      </c>
      <c r="C17" s="42" t="s">
        <v>1631</v>
      </c>
      <c r="D17" s="42" t="s">
        <v>803</v>
      </c>
      <c r="E17" s="13" t="s">
        <v>628</v>
      </c>
      <c r="F17" s="13" t="s">
        <v>675</v>
      </c>
      <c r="G17" s="13"/>
      <c r="H17" s="15">
        <v>16.05</v>
      </c>
      <c r="I17" s="17" t="s">
        <v>662</v>
      </c>
      <c r="J17" s="19">
        <f>IF(H17&gt;0,(H17*VLOOKUP(Lookups!$K$11,Lookups!$M$10:$P$40,4,0)/VLOOKUP(I17,Lookups!$M$10:$P$40,4,0)),"")</f>
        <v>18.431383618928503</v>
      </c>
      <c r="K17" s="15"/>
      <c r="L17" s="17"/>
      <c r="M17" s="19" t="str">
        <f>IF(K17&gt;0,(K17*VLOOKUP(Lookups!$K$11,Lookups!$M$10:$P$40,4,0)/VLOOKUP(L17,Lookups!$M$10:$P$40,4,0)),"")</f>
        <v/>
      </c>
      <c r="N17" s="15"/>
      <c r="O17" s="17"/>
      <c r="P17" s="19" t="str">
        <f>IF(N17&gt;0,(N17*VLOOKUP(Lookups!$K$11,Lookups!$M$10:$P$40,4,0)/VLOOKUP(O17,Lookups!$M$10:$P$40,4,0)),"")</f>
        <v/>
      </c>
      <c r="Q17" s="95" t="s">
        <v>794</v>
      </c>
      <c r="R17" s="38" t="s">
        <v>619</v>
      </c>
      <c r="S17" s="13" t="s">
        <v>1741</v>
      </c>
      <c r="T17" s="13"/>
      <c r="U17" s="13"/>
    </row>
    <row r="18" spans="1:21" x14ac:dyDescent="0.2">
      <c r="A18" s="88"/>
      <c r="B18" s="88"/>
      <c r="C18" s="88"/>
      <c r="D18" s="88"/>
      <c r="R18" s="87"/>
    </row>
    <row r="19" spans="1:21" x14ac:dyDescent="0.2">
      <c r="A19" s="88"/>
      <c r="B19" s="88"/>
      <c r="C19" s="88"/>
      <c r="D19" s="88"/>
      <c r="R19" s="87"/>
    </row>
    <row r="20" spans="1:21" x14ac:dyDescent="0.2">
      <c r="A20" s="88"/>
      <c r="B20" s="88"/>
      <c r="C20" s="88"/>
      <c r="D20" s="88"/>
      <c r="R20" s="87"/>
    </row>
    <row r="21" spans="1:21" s="79" customFormat="1" ht="12.75" customHeight="1" x14ac:dyDescent="0.2">
      <c r="A21" s="179" t="s">
        <v>1231</v>
      </c>
      <c r="D21" s="80"/>
      <c r="I21" s="60" t="s">
        <v>729</v>
      </c>
      <c r="L21" s="60" t="s">
        <v>729</v>
      </c>
      <c r="O21" s="60" t="s">
        <v>729</v>
      </c>
      <c r="R21" s="38" t="s">
        <v>616</v>
      </c>
      <c r="T21" s="5" t="s">
        <v>1911</v>
      </c>
    </row>
    <row r="22" spans="1:21" s="79" customFormat="1" x14ac:dyDescent="0.2">
      <c r="A22" s="180"/>
      <c r="D22" s="80"/>
      <c r="I22" s="60" t="s">
        <v>728</v>
      </c>
      <c r="L22" s="60" t="s">
        <v>728</v>
      </c>
      <c r="O22" s="60" t="s">
        <v>728</v>
      </c>
      <c r="R22" s="38" t="s">
        <v>619</v>
      </c>
      <c r="T22" s="5" t="s">
        <v>1912</v>
      </c>
    </row>
    <row r="23" spans="1:21" s="79" customFormat="1" x14ac:dyDescent="0.2">
      <c r="A23" s="180"/>
      <c r="D23" s="80"/>
      <c r="I23" s="17" t="s">
        <v>727</v>
      </c>
      <c r="L23" s="17" t="s">
        <v>727</v>
      </c>
      <c r="O23" s="17" t="s">
        <v>727</v>
      </c>
      <c r="R23" s="38" t="s">
        <v>621</v>
      </c>
    </row>
    <row r="24" spans="1:21" s="79" customFormat="1" x14ac:dyDescent="0.2">
      <c r="A24" s="180"/>
      <c r="D24" s="80"/>
      <c r="I24" s="17" t="s">
        <v>726</v>
      </c>
      <c r="L24" s="17" t="s">
        <v>726</v>
      </c>
      <c r="O24" s="17" t="s">
        <v>726</v>
      </c>
    </row>
    <row r="25" spans="1:21" s="79" customFormat="1" x14ac:dyDescent="0.2">
      <c r="A25" s="180"/>
      <c r="D25" s="80"/>
      <c r="I25" s="17" t="s">
        <v>665</v>
      </c>
      <c r="L25" s="17" t="s">
        <v>665</v>
      </c>
      <c r="O25" s="17" t="s">
        <v>665</v>
      </c>
    </row>
    <row r="26" spans="1:21" s="79" customFormat="1" x14ac:dyDescent="0.2">
      <c r="A26" s="180"/>
      <c r="D26" s="80"/>
      <c r="I26" s="17" t="s">
        <v>664</v>
      </c>
      <c r="L26" s="17" t="s">
        <v>664</v>
      </c>
      <c r="O26" s="17" t="s">
        <v>664</v>
      </c>
    </row>
    <row r="27" spans="1:21" s="79" customFormat="1" x14ac:dyDescent="0.2">
      <c r="A27" s="180"/>
      <c r="D27" s="80"/>
      <c r="I27" s="17" t="s">
        <v>663</v>
      </c>
      <c r="L27" s="17" t="s">
        <v>663</v>
      </c>
      <c r="O27" s="17" t="s">
        <v>663</v>
      </c>
    </row>
    <row r="28" spans="1:21" s="79" customFormat="1" x14ac:dyDescent="0.2">
      <c r="A28" s="180"/>
      <c r="D28" s="80"/>
      <c r="I28" s="17" t="s">
        <v>662</v>
      </c>
      <c r="L28" s="17" t="s">
        <v>662</v>
      </c>
      <c r="O28" s="17" t="s">
        <v>662</v>
      </c>
    </row>
    <row r="29" spans="1:21" s="79" customFormat="1" x14ac:dyDescent="0.2">
      <c r="A29" s="180"/>
      <c r="D29" s="80"/>
      <c r="I29" s="17" t="s">
        <v>661</v>
      </c>
      <c r="L29" s="17" t="s">
        <v>661</v>
      </c>
      <c r="O29" s="17" t="s">
        <v>661</v>
      </c>
    </row>
    <row r="30" spans="1:21" s="79" customFormat="1" x14ac:dyDescent="0.2">
      <c r="A30" s="180"/>
      <c r="D30" s="80"/>
      <c r="I30" s="17" t="s">
        <v>660</v>
      </c>
      <c r="L30" s="17" t="s">
        <v>660</v>
      </c>
      <c r="O30" s="17" t="s">
        <v>660</v>
      </c>
    </row>
    <row r="31" spans="1:21" s="79" customFormat="1" x14ac:dyDescent="0.2">
      <c r="A31" s="180"/>
      <c r="D31" s="80"/>
      <c r="I31" s="17" t="s">
        <v>659</v>
      </c>
      <c r="L31" s="17" t="s">
        <v>659</v>
      </c>
      <c r="O31" s="17" t="s">
        <v>659</v>
      </c>
    </row>
    <row r="32" spans="1:21" s="79" customFormat="1" x14ac:dyDescent="0.2">
      <c r="A32" s="180"/>
      <c r="D32" s="80"/>
      <c r="I32" s="17" t="s">
        <v>658</v>
      </c>
      <c r="L32" s="17" t="s">
        <v>658</v>
      </c>
      <c r="O32" s="17" t="s">
        <v>658</v>
      </c>
    </row>
    <row r="33" spans="1:18" s="79" customFormat="1" x14ac:dyDescent="0.2">
      <c r="A33" s="180"/>
      <c r="D33" s="80"/>
      <c r="I33" s="17" t="s">
        <v>657</v>
      </c>
      <c r="L33" s="17" t="s">
        <v>657</v>
      </c>
      <c r="O33" s="17" t="s">
        <v>657</v>
      </c>
    </row>
    <row r="34" spans="1:18" s="79" customFormat="1" x14ac:dyDescent="0.2">
      <c r="A34" s="180"/>
      <c r="D34" s="80"/>
      <c r="I34" s="17" t="s">
        <v>656</v>
      </c>
      <c r="L34" s="17" t="s">
        <v>656</v>
      </c>
      <c r="O34" s="17" t="s">
        <v>656</v>
      </c>
    </row>
    <row r="35" spans="1:18" s="79" customFormat="1" x14ac:dyDescent="0.2">
      <c r="A35" s="180"/>
      <c r="D35" s="80"/>
      <c r="I35" s="17" t="s">
        <v>653</v>
      </c>
      <c r="L35" s="17" t="s">
        <v>653</v>
      </c>
      <c r="O35" s="17" t="s">
        <v>653</v>
      </c>
    </row>
    <row r="36" spans="1:18" s="79" customFormat="1" x14ac:dyDescent="0.2">
      <c r="A36" s="180"/>
      <c r="D36" s="80"/>
      <c r="I36" s="17" t="s">
        <v>654</v>
      </c>
      <c r="L36" s="17" t="s">
        <v>654</v>
      </c>
      <c r="O36" s="17" t="s">
        <v>654</v>
      </c>
    </row>
    <row r="37" spans="1:18" s="79" customFormat="1" x14ac:dyDescent="0.2">
      <c r="A37" s="180"/>
      <c r="D37" s="80"/>
      <c r="I37" s="17" t="s">
        <v>655</v>
      </c>
      <c r="L37" s="17" t="s">
        <v>655</v>
      </c>
      <c r="O37" s="17" t="s">
        <v>655</v>
      </c>
    </row>
    <row r="38" spans="1:18" s="79" customFormat="1" x14ac:dyDescent="0.2">
      <c r="A38" s="180"/>
      <c r="D38" s="80"/>
      <c r="I38" s="17" t="s">
        <v>652</v>
      </c>
      <c r="L38" s="17" t="s">
        <v>652</v>
      </c>
      <c r="O38" s="17" t="s">
        <v>652</v>
      </c>
    </row>
    <row r="39" spans="1:18" s="79" customFormat="1" x14ac:dyDescent="0.2">
      <c r="A39" s="180"/>
      <c r="D39" s="80"/>
      <c r="I39" s="17" t="s">
        <v>651</v>
      </c>
      <c r="L39" s="17" t="s">
        <v>651</v>
      </c>
      <c r="O39" s="17" t="s">
        <v>651</v>
      </c>
    </row>
    <row r="40" spans="1:18" s="79" customFormat="1" x14ac:dyDescent="0.2">
      <c r="A40" s="180"/>
      <c r="D40" s="80"/>
      <c r="I40" s="17" t="s">
        <v>650</v>
      </c>
      <c r="L40" s="17" t="s">
        <v>650</v>
      </c>
      <c r="O40" s="17" t="s">
        <v>650</v>
      </c>
    </row>
    <row r="41" spans="1:18" s="79" customFormat="1" x14ac:dyDescent="0.2">
      <c r="A41" s="180"/>
      <c r="D41" s="80"/>
      <c r="I41" s="17" t="s">
        <v>649</v>
      </c>
      <c r="L41" s="17" t="s">
        <v>649</v>
      </c>
      <c r="O41" s="17" t="s">
        <v>649</v>
      </c>
    </row>
    <row r="42" spans="1:18" s="79" customFormat="1" x14ac:dyDescent="0.2">
      <c r="A42" s="180"/>
      <c r="D42" s="80"/>
      <c r="I42" s="17" t="s">
        <v>725</v>
      </c>
      <c r="L42" s="17" t="s">
        <v>725</v>
      </c>
      <c r="O42" s="17" t="s">
        <v>725</v>
      </c>
    </row>
    <row r="43" spans="1:18" s="79" customFormat="1" x14ac:dyDescent="0.2">
      <c r="A43" s="180"/>
      <c r="D43" s="80"/>
      <c r="I43" s="17" t="s">
        <v>724</v>
      </c>
      <c r="L43" s="17" t="s">
        <v>724</v>
      </c>
      <c r="O43" s="17" t="s">
        <v>724</v>
      </c>
    </row>
    <row r="44" spans="1:18" s="79" customFormat="1" x14ac:dyDescent="0.2">
      <c r="A44" s="180"/>
      <c r="D44" s="80"/>
      <c r="I44" s="60" t="s">
        <v>723</v>
      </c>
      <c r="L44" s="17" t="s">
        <v>723</v>
      </c>
      <c r="O44" s="17" t="s">
        <v>723</v>
      </c>
    </row>
    <row r="45" spans="1:18" s="79" customFormat="1" x14ac:dyDescent="0.2">
      <c r="A45" s="181"/>
      <c r="D45" s="80"/>
      <c r="I45" s="60" t="s">
        <v>722</v>
      </c>
      <c r="L45" s="17" t="s">
        <v>722</v>
      </c>
      <c r="O45" s="17" t="s">
        <v>722</v>
      </c>
    </row>
    <row r="46" spans="1:18" x14ac:dyDescent="0.2">
      <c r="B46" s="88"/>
      <c r="C46" s="88"/>
      <c r="D46" s="88"/>
      <c r="I46" s="17" t="s">
        <v>721</v>
      </c>
      <c r="L46" s="17" t="s">
        <v>721</v>
      </c>
      <c r="O46" s="17" t="s">
        <v>721</v>
      </c>
      <c r="R46" s="87"/>
    </row>
    <row r="47" spans="1:18" x14ac:dyDescent="0.2">
      <c r="B47" s="88"/>
      <c r="C47" s="88"/>
      <c r="D47" s="88"/>
      <c r="I47" s="17" t="s">
        <v>720</v>
      </c>
      <c r="L47" s="17" t="s">
        <v>720</v>
      </c>
      <c r="O47" s="17" t="s">
        <v>720</v>
      </c>
      <c r="R47" s="87"/>
    </row>
    <row r="48" spans="1:18" x14ac:dyDescent="0.2">
      <c r="B48" s="88"/>
      <c r="C48" s="88"/>
      <c r="D48" s="88"/>
      <c r="R48" s="87"/>
    </row>
    <row r="49" spans="2:18" x14ac:dyDescent="0.2">
      <c r="B49" s="88"/>
      <c r="C49" s="88"/>
      <c r="D49" s="88"/>
      <c r="R49" s="87"/>
    </row>
    <row r="50" spans="2:18" x14ac:dyDescent="0.2">
      <c r="B50" s="88"/>
      <c r="C50" s="88"/>
      <c r="D50" s="88"/>
      <c r="R50" s="87"/>
    </row>
    <row r="51" spans="2:18" x14ac:dyDescent="0.2">
      <c r="B51" s="88"/>
      <c r="C51" s="88"/>
      <c r="D51" s="88"/>
      <c r="R51" s="87"/>
    </row>
    <row r="52" spans="2:18" x14ac:dyDescent="0.2">
      <c r="B52" s="88"/>
      <c r="C52" s="88"/>
      <c r="D52" s="88"/>
      <c r="R52" s="87"/>
    </row>
    <row r="53" spans="2:18" x14ac:dyDescent="0.2">
      <c r="B53" s="88"/>
      <c r="C53" s="88"/>
      <c r="D53" s="88"/>
      <c r="R53" s="87"/>
    </row>
    <row r="54" spans="2:18" x14ac:dyDescent="0.2">
      <c r="B54" s="88"/>
      <c r="C54" s="88"/>
      <c r="D54" s="88"/>
      <c r="R54" s="87"/>
    </row>
    <row r="55" spans="2:18" x14ac:dyDescent="0.2">
      <c r="B55" s="88"/>
      <c r="C55" s="88"/>
      <c r="D55" s="88"/>
      <c r="R55" s="87"/>
    </row>
    <row r="56" spans="2:18" x14ac:dyDescent="0.2">
      <c r="B56" s="88"/>
      <c r="C56" s="88"/>
      <c r="D56" s="88"/>
      <c r="R56" s="87"/>
    </row>
    <row r="57" spans="2:18" x14ac:dyDescent="0.2">
      <c r="B57" s="88"/>
      <c r="C57" s="88"/>
      <c r="D57" s="88"/>
      <c r="R57" s="87"/>
    </row>
    <row r="58" spans="2:18" x14ac:dyDescent="0.2">
      <c r="B58" s="88"/>
      <c r="C58" s="88"/>
      <c r="D58" s="88"/>
      <c r="R58" s="87"/>
    </row>
    <row r="59" spans="2:18" x14ac:dyDescent="0.2">
      <c r="B59" s="88"/>
      <c r="C59" s="88"/>
      <c r="D59" s="88"/>
      <c r="R59" s="87"/>
    </row>
    <row r="60" spans="2:18" x14ac:dyDescent="0.2">
      <c r="B60" s="88"/>
      <c r="C60" s="88"/>
      <c r="D60" s="88"/>
      <c r="R60" s="87"/>
    </row>
    <row r="61" spans="2:18" x14ac:dyDescent="0.2">
      <c r="B61" s="88"/>
      <c r="C61" s="88"/>
      <c r="D61" s="88"/>
      <c r="R61" s="87"/>
    </row>
    <row r="62" spans="2:18" x14ac:dyDescent="0.2">
      <c r="B62" s="88"/>
      <c r="C62" s="88"/>
      <c r="D62" s="88"/>
      <c r="R62" s="87"/>
    </row>
    <row r="63" spans="2:18" x14ac:dyDescent="0.2">
      <c r="B63" s="88"/>
      <c r="C63" s="88"/>
      <c r="D63" s="88"/>
      <c r="R63" s="87"/>
    </row>
    <row r="64" spans="2:18" x14ac:dyDescent="0.2">
      <c r="B64" s="88"/>
      <c r="C64" s="88"/>
      <c r="D64" s="88"/>
      <c r="R64" s="87"/>
    </row>
    <row r="65" spans="2:18" x14ac:dyDescent="0.2">
      <c r="B65" s="88"/>
      <c r="C65" s="88"/>
      <c r="D65" s="88"/>
      <c r="R65" s="87"/>
    </row>
    <row r="66" spans="2:18" x14ac:dyDescent="0.2">
      <c r="B66" s="88"/>
      <c r="C66" s="88"/>
      <c r="D66" s="88"/>
      <c r="R66" s="87"/>
    </row>
    <row r="67" spans="2:18" x14ac:dyDescent="0.2">
      <c r="B67" s="88"/>
      <c r="C67" s="88"/>
      <c r="D67" s="88"/>
      <c r="R67" s="87"/>
    </row>
    <row r="68" spans="2:18" x14ac:dyDescent="0.2">
      <c r="B68" s="88"/>
      <c r="C68" s="88"/>
      <c r="D68" s="88"/>
      <c r="R68" s="87"/>
    </row>
    <row r="69" spans="2:18" x14ac:dyDescent="0.2">
      <c r="B69" s="88"/>
      <c r="C69" s="88"/>
      <c r="D69" s="88"/>
      <c r="R69" s="87"/>
    </row>
    <row r="70" spans="2:18" x14ac:dyDescent="0.2">
      <c r="B70" s="88"/>
      <c r="C70" s="88"/>
      <c r="D70" s="88"/>
      <c r="R70" s="87"/>
    </row>
  </sheetData>
  <mergeCells count="14">
    <mergeCell ref="Q1:Q2"/>
    <mergeCell ref="K1:M1"/>
    <mergeCell ref="N1:P1"/>
    <mergeCell ref="T1:U1"/>
    <mergeCell ref="R1:R2"/>
    <mergeCell ref="S1:S2"/>
    <mergeCell ref="H1:J1"/>
    <mergeCell ref="A21:A45"/>
    <mergeCell ref="A1:A2"/>
    <mergeCell ref="B1:B2"/>
    <mergeCell ref="C1:C2"/>
    <mergeCell ref="D1:D2"/>
    <mergeCell ref="F1:G1"/>
    <mergeCell ref="E1:E2"/>
  </mergeCells>
  <phoneticPr fontId="5" type="noConversion"/>
  <conditionalFormatting sqref="R21:R23 R3:R17">
    <cfRule type="cellIs" dxfId="53" priority="131" stopIfTrue="1" operator="equal">
      <formula>$R$23</formula>
    </cfRule>
    <cfRule type="cellIs" dxfId="52" priority="132" stopIfTrue="1" operator="equal">
      <formula>$R$22</formula>
    </cfRule>
    <cfRule type="cellIs" dxfId="51" priority="133" stopIfTrue="1" operator="equal">
      <formula>$R$21</formula>
    </cfRule>
  </conditionalFormatting>
  <conditionalFormatting sqref="I21:I45 I3:I17 L21:L45 O3:O17 O21:O45 L3:L17">
    <cfRule type="cellIs" dxfId="50" priority="134" operator="between">
      <formula>$I$25</formula>
      <formula>$I$21</formula>
    </cfRule>
    <cfRule type="cellIs" dxfId="49" priority="135" operator="between">
      <formula>$I$28</formula>
      <formula>$I$26</formula>
    </cfRule>
    <cfRule type="cellIs" dxfId="48" priority="136" operator="between">
      <formula>$I$29</formula>
      <formula>$I$47</formula>
    </cfRule>
  </conditionalFormatting>
  <conditionalFormatting sqref="R3:R17">
    <cfRule type="cellIs" dxfId="47" priority="77" stopIfTrue="1" operator="equal">
      <formula>$R$216</formula>
    </cfRule>
    <cfRule type="cellIs" dxfId="46" priority="78" stopIfTrue="1" operator="equal">
      <formula>$R$215</formula>
    </cfRule>
    <cfRule type="cellIs" dxfId="45" priority="79" stopIfTrue="1" operator="equal">
      <formula>$R$214</formula>
    </cfRule>
  </conditionalFormatting>
  <conditionalFormatting sqref="I3:I17 O3:O17 L4:L17">
    <cfRule type="cellIs" dxfId="44" priority="13" stopIfTrue="1" operator="equal">
      <formula>$I$48</formula>
    </cfRule>
  </conditionalFormatting>
  <conditionalFormatting sqref="I46:I47 L46:L47 O46:O47">
    <cfRule type="cellIs" dxfId="43" priority="7" operator="greaterThanOrEqual">
      <formula>$I$25</formula>
    </cfRule>
    <cfRule type="cellIs" dxfId="42" priority="8" operator="between">
      <formula>$I$28</formula>
      <formula>$I$26</formula>
    </cfRule>
    <cfRule type="cellIs" dxfId="41" priority="9" operator="lessThanOrEqual">
      <formula>$I$29</formula>
    </cfRule>
  </conditionalFormatting>
  <dataValidations count="9">
    <dataValidation type="list" allowBlank="1" showInputMessage="1" showErrorMessage="1" sqref="F3:F17">
      <formula1>Level1agencysaving</formula1>
    </dataValidation>
    <dataValidation type="list" allowBlank="1" showInputMessage="1" showErrorMessage="1" sqref="G3:G17">
      <formula1>Level2agencysaving</formula1>
    </dataValidation>
    <dataValidation type="list" allowBlank="1" showInputMessage="1" showErrorMessage="1" sqref="E3:E17">
      <formula1>Unit</formula1>
    </dataValidation>
    <dataValidation type="list" allowBlank="1" showInputMessage="1" showErrorMessage="1" sqref="I3:I17 L3:L17 O3:O17">
      <formula1>Year</formula1>
    </dataValidation>
    <dataValidation type="list" allowBlank="1" showInputMessage="1" showErrorMessage="1" sqref="R3:R17">
      <formula1>RAGassessment</formula1>
    </dataValidation>
    <dataValidation type="list" allowBlank="1" showInputMessage="1" showErrorMessage="1" sqref="T4:T17">
      <formula1>$T$21:$T$22</formula1>
    </dataValidation>
    <dataValidation type="list" allowBlank="1" showInputMessage="1" showErrorMessage="1" sqref="A3:A17">
      <formula1>Outcomecategory</formula1>
    </dataValidation>
    <dataValidation type="list" allowBlank="1" showInputMessage="1" showErrorMessage="1" sqref="B3:B17">
      <formula1>Outcomedetail</formula1>
    </dataValidation>
    <dataValidation type="list" allowBlank="1" showInputMessage="1" showErrorMessage="1" sqref="T3">
      <formula1>$T$180:$T$181</formula1>
    </dataValidation>
  </dataValidations>
  <hyperlinks>
    <hyperlink ref="Q3" r:id="rId1"/>
    <hyperlink ref="Q4" r:id="rId2"/>
    <hyperlink ref="Q5:Q10" r:id="rId3" display="The economic cost of fire: estimates for 2008 - Fire Research Report 3/2011 (Department for Communities and Local Government, 2011), p.29-30"/>
    <hyperlink ref="Q11" r:id="rId4"/>
    <hyperlink ref="Q12" r:id="rId5"/>
    <hyperlink ref="Q17" r:id="rId6"/>
    <hyperlink ref="Q5" r:id="rId7"/>
    <hyperlink ref="Q6" r:id="rId8"/>
    <hyperlink ref="Q7" r:id="rId9"/>
    <hyperlink ref="Q8" r:id="rId10"/>
    <hyperlink ref="Q9" r:id="rId11"/>
    <hyperlink ref="Q10" r:id="rId12"/>
    <hyperlink ref="Q13" r:id="rId13"/>
    <hyperlink ref="Q14" r:id="rId14"/>
    <hyperlink ref="Q15" r:id="rId15"/>
    <hyperlink ref="Q16" r:id="rId16"/>
  </hyperlinks>
  <pageMargins left="0.70866141732283472" right="0.70866141732283472" top="0.74803149606299213" bottom="0.74803149606299213" header="0.31496062992125984" footer="0.31496062992125984"/>
  <pageSetup paperSize="8" scale="44" orientation="landscape" r:id="rId1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outlinePr summaryBelow="0" summaryRight="0"/>
  </sheetPr>
  <dimension ref="A1:U307"/>
  <sheetViews>
    <sheetView showGridLines="0" zoomScale="80" zoomScaleNormal="80" workbookViewId="0">
      <pane xSplit="4" ySplit="2" topLeftCell="E3" activePane="bottomRight" state="frozen"/>
      <selection pane="topRight" activeCell="E1" sqref="E1"/>
      <selection pane="bottomLeft" activeCell="A3" sqref="A3"/>
      <selection pane="bottomRight" sqref="A1:A2"/>
    </sheetView>
  </sheetViews>
  <sheetFormatPr defaultRowHeight="21.75" customHeight="1" outlineLevelRow="2" x14ac:dyDescent="0.2"/>
  <cols>
    <col min="1" max="1" width="12.625" style="79" customWidth="1"/>
    <col min="2" max="2" width="14.125" style="79" customWidth="1"/>
    <col min="3" max="3" width="8.5" style="79" customWidth="1"/>
    <col min="4" max="4" width="43.25" style="79" customWidth="1"/>
    <col min="5" max="5" width="15" style="79" customWidth="1"/>
    <col min="6" max="6" width="16" style="79" customWidth="1"/>
    <col min="7" max="7" width="15.75" style="79" customWidth="1"/>
    <col min="8" max="8" width="12.5" style="79" bestFit="1" customWidth="1"/>
    <col min="9" max="9" width="10" style="79" customWidth="1"/>
    <col min="10" max="10" width="12.5" style="79" bestFit="1" customWidth="1"/>
    <col min="11" max="11" width="12.5" style="79" customWidth="1"/>
    <col min="12" max="12" width="10" style="79" customWidth="1"/>
    <col min="13" max="14" width="12.5" style="79" customWidth="1"/>
    <col min="15" max="15" width="10" style="79" customWidth="1"/>
    <col min="16" max="16" width="12.5" style="79" customWidth="1"/>
    <col min="17" max="17" width="46.125" style="79" customWidth="1"/>
    <col min="18" max="18" width="12.5" style="79" customWidth="1"/>
    <col min="19" max="19" width="78.25" style="79" customWidth="1"/>
    <col min="20" max="20" width="10.125" style="79" customWidth="1"/>
    <col min="21" max="21" width="20.875" style="79" customWidth="1"/>
    <col min="22" max="16384" width="9" style="79"/>
  </cols>
  <sheetData>
    <row r="1" spans="1:21" s="51" customFormat="1" ht="31.5" customHeight="1" x14ac:dyDescent="0.2">
      <c r="A1" s="182" t="s">
        <v>715</v>
      </c>
      <c r="B1" s="178" t="s">
        <v>716</v>
      </c>
      <c r="C1" s="178" t="s">
        <v>1409</v>
      </c>
      <c r="D1" s="178" t="s">
        <v>717</v>
      </c>
      <c r="E1" s="178" t="s">
        <v>644</v>
      </c>
      <c r="F1" s="178" t="s">
        <v>1778</v>
      </c>
      <c r="G1" s="178"/>
      <c r="H1" s="178" t="s">
        <v>1859</v>
      </c>
      <c r="I1" s="178"/>
      <c r="J1" s="178"/>
      <c r="K1" s="178" t="s">
        <v>1860</v>
      </c>
      <c r="L1" s="178"/>
      <c r="M1" s="178"/>
      <c r="N1" s="178" t="s">
        <v>1861</v>
      </c>
      <c r="O1" s="178"/>
      <c r="P1" s="178"/>
      <c r="Q1" s="178" t="s">
        <v>643</v>
      </c>
      <c r="R1" s="178" t="s">
        <v>966</v>
      </c>
      <c r="S1" s="178" t="s">
        <v>1408</v>
      </c>
      <c r="T1" s="178" t="s">
        <v>68</v>
      </c>
      <c r="U1" s="185"/>
    </row>
    <row r="2" spans="1:21" s="51" customFormat="1" ht="30" customHeight="1" x14ac:dyDescent="0.2">
      <c r="A2" s="188"/>
      <c r="B2" s="186"/>
      <c r="C2" s="186"/>
      <c r="D2" s="187"/>
      <c r="E2" s="187"/>
      <c r="F2" s="107" t="s">
        <v>672</v>
      </c>
      <c r="G2" s="107" t="s">
        <v>673</v>
      </c>
      <c r="H2" s="107" t="s">
        <v>718</v>
      </c>
      <c r="I2" s="107" t="s">
        <v>648</v>
      </c>
      <c r="J2" s="107" t="s">
        <v>1732</v>
      </c>
      <c r="K2" s="107" t="s">
        <v>718</v>
      </c>
      <c r="L2" s="107" t="s">
        <v>648</v>
      </c>
      <c r="M2" s="107" t="s">
        <v>1732</v>
      </c>
      <c r="N2" s="107" t="s">
        <v>718</v>
      </c>
      <c r="O2" s="107" t="s">
        <v>648</v>
      </c>
      <c r="P2" s="107" t="s">
        <v>1732</v>
      </c>
      <c r="Q2" s="187"/>
      <c r="R2" s="187"/>
      <c r="S2" s="187"/>
      <c r="T2" s="108" t="s">
        <v>1910</v>
      </c>
      <c r="U2" s="109" t="s">
        <v>1909</v>
      </c>
    </row>
    <row r="3" spans="1:21" s="40" customFormat="1" ht="60" customHeight="1" collapsed="1" x14ac:dyDescent="0.2">
      <c r="A3" s="42" t="s">
        <v>688</v>
      </c>
      <c r="B3" s="42" t="s">
        <v>594</v>
      </c>
      <c r="C3" s="42" t="s">
        <v>1973</v>
      </c>
      <c r="D3" s="42" t="s">
        <v>1426</v>
      </c>
      <c r="E3" s="13" t="s">
        <v>1342</v>
      </c>
      <c r="F3" s="13" t="s">
        <v>629</v>
      </c>
      <c r="G3" s="13" t="s">
        <v>225</v>
      </c>
      <c r="H3" s="15">
        <v>1800</v>
      </c>
      <c r="I3" s="17" t="s">
        <v>663</v>
      </c>
      <c r="J3" s="19">
        <f>IF(H3&gt;0,(H3*VLOOKUP(Lookups!$K$11,Lookups!$M$10:$P$40,4,0)/VLOOKUP(I3,Lookups!$M$10:$P$40,4,0)),"")</f>
        <v>2014.9837306299635</v>
      </c>
      <c r="K3" s="15"/>
      <c r="L3" s="17"/>
      <c r="M3" s="19" t="str">
        <f>IF(K3&gt;0,(K3*VLOOKUP(Lookups!$K$11,Lookups!$M$10:$P$40,4,0)/VLOOKUP(L3,Lookups!$M$10:$P$40,4,0)),"")</f>
        <v/>
      </c>
      <c r="N3" s="15">
        <v>1398</v>
      </c>
      <c r="O3" s="17" t="s">
        <v>663</v>
      </c>
      <c r="P3" s="19">
        <f>IF(N3&gt;0,(N3*VLOOKUP(Lookups!$K$11,Lookups!$M$10:$P$40,4,0)/VLOOKUP(O3,Lookups!$M$10:$P$40,4,0)),"")</f>
        <v>1564.9706974559385</v>
      </c>
      <c r="Q3" s="36" t="s">
        <v>1425</v>
      </c>
      <c r="R3" s="17" t="s">
        <v>619</v>
      </c>
      <c r="S3" s="13" t="s">
        <v>2061</v>
      </c>
      <c r="T3" s="13" t="s">
        <v>1912</v>
      </c>
      <c r="U3" s="13" t="s">
        <v>2062</v>
      </c>
    </row>
    <row r="4" spans="1:21" s="40" customFormat="1" ht="60" hidden="1" customHeight="1" outlineLevel="1" x14ac:dyDescent="0.2">
      <c r="A4" s="46" t="s">
        <v>688</v>
      </c>
      <c r="B4" s="46" t="s">
        <v>594</v>
      </c>
      <c r="C4" s="46" t="s">
        <v>967</v>
      </c>
      <c r="D4" s="46" t="s">
        <v>224</v>
      </c>
      <c r="E4" s="13" t="s">
        <v>1372</v>
      </c>
      <c r="F4" s="13" t="s">
        <v>629</v>
      </c>
      <c r="G4" s="13" t="s">
        <v>225</v>
      </c>
      <c r="H4" s="15">
        <v>338</v>
      </c>
      <c r="I4" s="17" t="s">
        <v>727</v>
      </c>
      <c r="J4" s="19">
        <f>IF(H4&gt;0,(H4*VLOOKUP(Lookups!$K$11,Lookups!$M$10:$P$40,4,0)/VLOOKUP(I4,Lookups!$M$10:$P$40,4,0)),"")</f>
        <v>348.55844399999995</v>
      </c>
      <c r="K4" s="15"/>
      <c r="L4" s="17"/>
      <c r="M4" s="19" t="str">
        <f>IF(K4&gt;0,(K4*VLOOKUP(Lookups!$K$11,Lookups!$M$10:$P$40,4,0)/VLOOKUP(L4,Lookups!$M$10:$P$40,4,0)),"")</f>
        <v/>
      </c>
      <c r="N4" s="15"/>
      <c r="O4" s="17"/>
      <c r="P4" s="19" t="str">
        <f>IF(N4&gt;0,(N4*VLOOKUP(Lookups!$K$11,Lookups!$M$10:$P$40,4,0)/VLOOKUP(O4,Lookups!$M$10:$P$40,4,0)),"")</f>
        <v/>
      </c>
      <c r="Q4" s="96" t="s">
        <v>226</v>
      </c>
      <c r="R4" s="17" t="s">
        <v>621</v>
      </c>
      <c r="S4" s="13" t="s">
        <v>228</v>
      </c>
      <c r="T4" s="13" t="s">
        <v>1912</v>
      </c>
      <c r="U4" s="13" t="s">
        <v>223</v>
      </c>
    </row>
    <row r="5" spans="1:21" s="40" customFormat="1" ht="60" hidden="1" customHeight="1" outlineLevel="1" x14ac:dyDescent="0.2">
      <c r="A5" s="46" t="s">
        <v>688</v>
      </c>
      <c r="B5" s="46" t="s">
        <v>594</v>
      </c>
      <c r="C5" s="46" t="s">
        <v>986</v>
      </c>
      <c r="D5" s="46" t="s">
        <v>170</v>
      </c>
      <c r="E5" s="13" t="s">
        <v>1372</v>
      </c>
      <c r="F5" s="13" t="s">
        <v>629</v>
      </c>
      <c r="G5" s="13" t="s">
        <v>225</v>
      </c>
      <c r="H5" s="15">
        <v>575</v>
      </c>
      <c r="I5" s="17" t="s">
        <v>727</v>
      </c>
      <c r="J5" s="19">
        <f>IF(H5&gt;0,(H5*VLOOKUP(Lookups!$K$11,Lookups!$M$10:$P$40,4,0)/VLOOKUP(I5,Lookups!$M$10:$P$40,4,0)),"")</f>
        <v>592.96184999999991</v>
      </c>
      <c r="K5" s="15"/>
      <c r="L5" s="17"/>
      <c r="M5" s="19" t="str">
        <f>IF(K5&gt;0,(K5*VLOOKUP(Lookups!$K$11,Lookups!$M$10:$P$40,4,0)/VLOOKUP(L5,Lookups!$M$10:$P$40,4,0)),"")</f>
        <v/>
      </c>
      <c r="N5" s="15"/>
      <c r="O5" s="17"/>
      <c r="P5" s="19" t="str">
        <f>IF(N5&gt;0,(N5*VLOOKUP(Lookups!$K$11,Lookups!$M$10:$P$40,4,0)/VLOOKUP(O5,Lookups!$M$10:$P$40,4,0)),"")</f>
        <v/>
      </c>
      <c r="Q5" s="78" t="s">
        <v>229</v>
      </c>
      <c r="R5" s="17" t="s">
        <v>619</v>
      </c>
      <c r="S5" s="13" t="s">
        <v>232</v>
      </c>
      <c r="T5" s="13" t="s">
        <v>1912</v>
      </c>
      <c r="U5" s="13" t="s">
        <v>223</v>
      </c>
    </row>
    <row r="6" spans="1:21" s="40" customFormat="1" ht="60" hidden="1" customHeight="1" outlineLevel="1" x14ac:dyDescent="0.2">
      <c r="A6" s="46" t="s">
        <v>688</v>
      </c>
      <c r="B6" s="46" t="s">
        <v>594</v>
      </c>
      <c r="C6" s="46" t="s">
        <v>987</v>
      </c>
      <c r="D6" s="46" t="s">
        <v>230</v>
      </c>
      <c r="E6" s="13" t="s">
        <v>1428</v>
      </c>
      <c r="F6" s="13" t="s">
        <v>629</v>
      </c>
      <c r="G6" s="13" t="s">
        <v>225</v>
      </c>
      <c r="H6" s="15">
        <v>60</v>
      </c>
      <c r="I6" s="17" t="s">
        <v>727</v>
      </c>
      <c r="J6" s="19">
        <f>IF(H6&gt;0,(H6*VLOOKUP(Lookups!$K$11,Lookups!$M$10:$P$40,4,0)/VLOOKUP(I6,Lookups!$M$10:$P$40,4,0)),"")</f>
        <v>61.874279999999992</v>
      </c>
      <c r="K6" s="15"/>
      <c r="L6" s="17"/>
      <c r="M6" s="19" t="str">
        <f>IF(K6&gt;0,(K6*VLOOKUP(Lookups!$K$11,Lookups!$M$10:$P$40,4,0)/VLOOKUP(L6,Lookups!$M$10:$P$40,4,0)),"")</f>
        <v/>
      </c>
      <c r="N6" s="15"/>
      <c r="O6" s="17"/>
      <c r="P6" s="19" t="str">
        <f>IF(N6&gt;0,(N6*VLOOKUP(Lookups!$K$11,Lookups!$M$10:$P$40,4,0)/VLOOKUP(O6,Lookups!$M$10:$P$40,4,0)),"")</f>
        <v/>
      </c>
      <c r="Q6" s="78" t="s">
        <v>231</v>
      </c>
      <c r="R6" s="17" t="s">
        <v>621</v>
      </c>
      <c r="S6" s="13" t="s">
        <v>233</v>
      </c>
      <c r="T6" s="13" t="s">
        <v>1912</v>
      </c>
      <c r="U6" s="13" t="s">
        <v>223</v>
      </c>
    </row>
    <row r="7" spans="1:21" s="40" customFormat="1" ht="60" hidden="1" customHeight="1" outlineLevel="1" x14ac:dyDescent="0.2">
      <c r="A7" s="46" t="s">
        <v>688</v>
      </c>
      <c r="B7" s="46" t="s">
        <v>594</v>
      </c>
      <c r="C7" s="46" t="s">
        <v>988</v>
      </c>
      <c r="D7" s="46" t="s">
        <v>885</v>
      </c>
      <c r="E7" s="14" t="s">
        <v>1392</v>
      </c>
      <c r="F7" s="4" t="s">
        <v>629</v>
      </c>
      <c r="G7" s="13" t="s">
        <v>225</v>
      </c>
      <c r="H7" s="11">
        <v>94</v>
      </c>
      <c r="I7" s="17" t="s">
        <v>665</v>
      </c>
      <c r="J7" s="19">
        <f>IF(H7&gt;0,(H7*VLOOKUP(Lookups!$K$11,Lookups!$M$10:$P$40,4,0)/VLOOKUP(I7,Lookups!$M$10:$P$40,4,0)),"")</f>
        <v>100.59209968276583</v>
      </c>
      <c r="K7" s="11"/>
      <c r="L7" s="17"/>
      <c r="M7" s="19" t="str">
        <f>IF(K7&gt;0,(K7*VLOOKUP(Lookups!$K$11,Lookups!$M$10:$P$40,4,0)/VLOOKUP(L7,Lookups!$M$10:$P$40,4,0)),"")</f>
        <v/>
      </c>
      <c r="N7" s="11"/>
      <c r="O7" s="17"/>
      <c r="P7" s="19" t="str">
        <f>IF(N7&gt;0,(N7*VLOOKUP(Lookups!$K$11,Lookups!$M$10:$P$40,4,0)/VLOOKUP(O7,Lookups!$M$10:$P$40,4,0)),"")</f>
        <v/>
      </c>
      <c r="Q7" s="77" t="s">
        <v>886</v>
      </c>
      <c r="R7" s="17" t="s">
        <v>621</v>
      </c>
      <c r="S7" s="4" t="s">
        <v>887</v>
      </c>
      <c r="T7" s="13"/>
      <c r="U7" s="120" t="s">
        <v>2226</v>
      </c>
    </row>
    <row r="8" spans="1:21" s="40" customFormat="1" ht="60" hidden="1" customHeight="1" outlineLevel="1" x14ac:dyDescent="0.2">
      <c r="A8" s="46" t="s">
        <v>688</v>
      </c>
      <c r="B8" s="46" t="s">
        <v>594</v>
      </c>
      <c r="C8" s="46" t="s">
        <v>989</v>
      </c>
      <c r="D8" s="46" t="s">
        <v>234</v>
      </c>
      <c r="E8" s="13" t="s">
        <v>235</v>
      </c>
      <c r="F8" s="13" t="s">
        <v>629</v>
      </c>
      <c r="G8" s="13" t="s">
        <v>225</v>
      </c>
      <c r="H8" s="15">
        <v>121</v>
      </c>
      <c r="I8" s="17" t="s">
        <v>727</v>
      </c>
      <c r="J8" s="19">
        <f>IF(H8&gt;0,(H8*VLOOKUP(Lookups!$K$11,Lookups!$M$10:$P$40,4,0)/VLOOKUP(I8,Lookups!$M$10:$P$40,4,0)),"")</f>
        <v>124.77979799999999</v>
      </c>
      <c r="K8" s="15"/>
      <c r="L8" s="17"/>
      <c r="M8" s="19" t="str">
        <f>IF(K8&gt;0,(K8*VLOOKUP(Lookups!$K$11,Lookups!$M$10:$P$40,4,0)/VLOOKUP(L8,Lookups!$M$10:$P$40,4,0)),"")</f>
        <v/>
      </c>
      <c r="N8" s="15"/>
      <c r="O8" s="17"/>
      <c r="P8" s="19" t="str">
        <f>IF(N8&gt;0,(N8*VLOOKUP(Lookups!$K$11,Lookups!$M$10:$P$40,4,0)/VLOOKUP(O8,Lookups!$M$10:$P$40,4,0)),"")</f>
        <v/>
      </c>
      <c r="Q8" s="78" t="s">
        <v>236</v>
      </c>
      <c r="R8" s="17" t="s">
        <v>621</v>
      </c>
      <c r="S8" s="13" t="s">
        <v>237</v>
      </c>
      <c r="T8" s="13"/>
      <c r="U8" s="13"/>
    </row>
    <row r="9" spans="1:21" s="40" customFormat="1" ht="60" hidden="1" customHeight="1" outlineLevel="1" x14ac:dyDescent="0.2">
      <c r="A9" s="46" t="s">
        <v>688</v>
      </c>
      <c r="B9" s="46" t="s">
        <v>594</v>
      </c>
      <c r="C9" s="46" t="s">
        <v>990</v>
      </c>
      <c r="D9" s="46" t="s">
        <v>238</v>
      </c>
      <c r="E9" s="13" t="s">
        <v>235</v>
      </c>
      <c r="F9" s="13" t="s">
        <v>629</v>
      </c>
      <c r="G9" s="13" t="s">
        <v>225</v>
      </c>
      <c r="H9" s="15">
        <v>273</v>
      </c>
      <c r="I9" s="17" t="s">
        <v>727</v>
      </c>
      <c r="J9" s="19">
        <f>IF(H9&gt;0,(H9*VLOOKUP(Lookups!$K$11,Lookups!$M$10:$P$40,4,0)/VLOOKUP(I9,Lookups!$M$10:$P$40,4,0)),"")</f>
        <v>281.52797399999997</v>
      </c>
      <c r="K9" s="15"/>
      <c r="L9" s="17"/>
      <c r="M9" s="19" t="str">
        <f>IF(K9&gt;0,(K9*VLOOKUP(Lookups!$K$11,Lookups!$M$10:$P$40,4,0)/VLOOKUP(L9,Lookups!$M$10:$P$40,4,0)),"")</f>
        <v/>
      </c>
      <c r="N9" s="15"/>
      <c r="O9" s="17"/>
      <c r="P9" s="19" t="str">
        <f>IF(N9&gt;0,(N9*VLOOKUP(Lookups!$K$11,Lookups!$M$10:$P$40,4,0)/VLOOKUP(O9,Lookups!$M$10:$P$40,4,0)),"")</f>
        <v/>
      </c>
      <c r="Q9" s="78" t="s">
        <v>239</v>
      </c>
      <c r="R9" s="17" t="s">
        <v>621</v>
      </c>
      <c r="S9" s="13" t="s">
        <v>209</v>
      </c>
      <c r="T9" s="13"/>
      <c r="U9" s="13"/>
    </row>
    <row r="10" spans="1:21" s="40" customFormat="1" ht="60" hidden="1" customHeight="1" outlineLevel="1" x14ac:dyDescent="0.2">
      <c r="A10" s="46" t="s">
        <v>688</v>
      </c>
      <c r="B10" s="46" t="s">
        <v>594</v>
      </c>
      <c r="C10" s="46" t="s">
        <v>991</v>
      </c>
      <c r="D10" s="46" t="s">
        <v>882</v>
      </c>
      <c r="E10" s="14" t="s">
        <v>630</v>
      </c>
      <c r="F10" s="4" t="s">
        <v>629</v>
      </c>
      <c r="G10" s="13" t="s">
        <v>225</v>
      </c>
      <c r="H10" s="11">
        <v>152</v>
      </c>
      <c r="I10" s="17" t="s">
        <v>727</v>
      </c>
      <c r="J10" s="19">
        <f>IF(H10&gt;0,(H10*VLOOKUP(Lookups!$K$11,Lookups!$M$10:$P$40,4,0)/VLOOKUP(I10,Lookups!$M$10:$P$40,4,0)),"")</f>
        <v>156.74817599999997</v>
      </c>
      <c r="K10" s="11"/>
      <c r="L10" s="17"/>
      <c r="M10" s="19" t="str">
        <f>IF(K10&gt;0,(K10*VLOOKUP(Lookups!$K$11,Lookups!$M$10:$P$40,4,0)/VLOOKUP(L10,Lookups!$M$10:$P$40,4,0)),"")</f>
        <v/>
      </c>
      <c r="N10" s="11"/>
      <c r="O10" s="17"/>
      <c r="P10" s="19" t="str">
        <f>IF(N10&gt;0,(N10*VLOOKUP(Lookups!$K$11,Lookups!$M$10:$P$40,4,0)/VLOOKUP(O10,Lookups!$M$10:$P$40,4,0)),"")</f>
        <v/>
      </c>
      <c r="Q10" s="77" t="s">
        <v>2368</v>
      </c>
      <c r="R10" s="17" t="s">
        <v>621</v>
      </c>
      <c r="S10" s="4" t="s">
        <v>2424</v>
      </c>
      <c r="T10" s="4" t="s">
        <v>1912</v>
      </c>
      <c r="U10" s="110" t="s">
        <v>2242</v>
      </c>
    </row>
    <row r="11" spans="1:21" s="40" customFormat="1" ht="60" hidden="1" customHeight="1" outlineLevel="1" x14ac:dyDescent="0.2">
      <c r="A11" s="46" t="s">
        <v>688</v>
      </c>
      <c r="B11" s="46" t="s">
        <v>594</v>
      </c>
      <c r="C11" s="46" t="s">
        <v>992</v>
      </c>
      <c r="D11" s="46" t="s">
        <v>240</v>
      </c>
      <c r="E11" s="13" t="s">
        <v>1372</v>
      </c>
      <c r="F11" s="13" t="s">
        <v>629</v>
      </c>
      <c r="G11" s="13" t="s">
        <v>225</v>
      </c>
      <c r="H11" s="15">
        <v>330</v>
      </c>
      <c r="I11" s="17" t="s">
        <v>727</v>
      </c>
      <c r="J11" s="19">
        <f>IF(H11&gt;0,(H11*VLOOKUP(Lookups!$K$11,Lookups!$M$10:$P$40,4,0)/VLOOKUP(I11,Lookups!$M$10:$P$40,4,0)),"")</f>
        <v>340.30853999999994</v>
      </c>
      <c r="K11" s="15"/>
      <c r="L11" s="17"/>
      <c r="M11" s="19" t="str">
        <f>IF(K11&gt;0,(K11*VLOOKUP(Lookups!$K$11,Lookups!$M$10:$P$40,4,0)/VLOOKUP(L11,Lookups!$M$10:$P$40,4,0)),"")</f>
        <v/>
      </c>
      <c r="N11" s="15"/>
      <c r="O11" s="17"/>
      <c r="P11" s="19" t="str">
        <f>IF(N11&gt;0,(N11*VLOOKUP(Lookups!$K$11,Lookups!$M$10:$P$40,4,0)/VLOOKUP(O11,Lookups!$M$10:$P$40,4,0)),"")</f>
        <v/>
      </c>
      <c r="Q11" s="78" t="s">
        <v>241</v>
      </c>
      <c r="R11" s="17" t="s">
        <v>621</v>
      </c>
      <c r="S11" s="13" t="s">
        <v>242</v>
      </c>
      <c r="T11" s="13" t="s">
        <v>1912</v>
      </c>
      <c r="U11" s="13" t="s">
        <v>223</v>
      </c>
    </row>
    <row r="12" spans="1:21" s="40" customFormat="1" ht="60" hidden="1" customHeight="1" outlineLevel="1" x14ac:dyDescent="0.2">
      <c r="A12" s="46" t="s">
        <v>688</v>
      </c>
      <c r="B12" s="46" t="s">
        <v>594</v>
      </c>
      <c r="C12" s="46" t="s">
        <v>993</v>
      </c>
      <c r="D12" s="46" t="s">
        <v>883</v>
      </c>
      <c r="E12" s="14" t="s">
        <v>631</v>
      </c>
      <c r="F12" s="4" t="s">
        <v>629</v>
      </c>
      <c r="G12" s="4" t="s">
        <v>1384</v>
      </c>
      <c r="H12" s="11">
        <v>633</v>
      </c>
      <c r="I12" s="17" t="s">
        <v>727</v>
      </c>
      <c r="J12" s="19">
        <f>IF(H12&gt;0,(H12*VLOOKUP(Lookups!$K$11,Lookups!$M$10:$P$40,4,0)/VLOOKUP(I12,Lookups!$M$10:$P$40,4,0)),"")</f>
        <v>652.77365399999985</v>
      </c>
      <c r="K12" s="11"/>
      <c r="L12" s="17"/>
      <c r="M12" s="19" t="str">
        <f>IF(K12&gt;0,(K12*VLOOKUP(Lookups!$K$11,Lookups!$M$10:$P$40,4,0)/VLOOKUP(L12,Lookups!$M$10:$P$40,4,0)),"")</f>
        <v/>
      </c>
      <c r="N12" s="11"/>
      <c r="O12" s="17"/>
      <c r="P12" s="19" t="str">
        <f>IF(N12&gt;0,(N12*VLOOKUP(Lookups!$K$11,Lookups!$M$10:$P$40,4,0)/VLOOKUP(O12,Lookups!$M$10:$P$40,4,0)),"")</f>
        <v/>
      </c>
      <c r="Q12" s="77" t="s">
        <v>2369</v>
      </c>
      <c r="R12" s="17" t="s">
        <v>619</v>
      </c>
      <c r="S12" s="13" t="s">
        <v>2423</v>
      </c>
      <c r="T12" s="4" t="s">
        <v>1912</v>
      </c>
      <c r="U12" s="110" t="s">
        <v>2242</v>
      </c>
    </row>
    <row r="13" spans="1:21" s="40" customFormat="1" ht="60" hidden="1" customHeight="1" outlineLevel="1" x14ac:dyDescent="0.2">
      <c r="A13" s="46" t="s">
        <v>688</v>
      </c>
      <c r="B13" s="46" t="s">
        <v>594</v>
      </c>
      <c r="C13" s="46" t="s">
        <v>994</v>
      </c>
      <c r="D13" s="46" t="s">
        <v>879</v>
      </c>
      <c r="E13" s="13" t="s">
        <v>1373</v>
      </c>
      <c r="F13" s="13" t="s">
        <v>629</v>
      </c>
      <c r="G13" s="13" t="s">
        <v>225</v>
      </c>
      <c r="H13" s="50">
        <v>741.67</v>
      </c>
      <c r="I13" s="17" t="s">
        <v>663</v>
      </c>
      <c r="J13" s="19">
        <f>IF(H13&gt;0,(H13*VLOOKUP(Lookups!$K$11,Lookups!$M$10:$P$40,4,0)/VLOOKUP(I13,Lookups!$M$10:$P$40,4,0)),"")</f>
        <v>830.25165749795826</v>
      </c>
      <c r="K13" s="50"/>
      <c r="L13" s="17"/>
      <c r="M13" s="19" t="str">
        <f>IF(K13&gt;0,(K13*VLOOKUP(Lookups!$K$11,Lookups!$M$10:$P$40,4,0)/VLOOKUP(L13,Lookups!$M$10:$P$40,4,0)),"")</f>
        <v/>
      </c>
      <c r="N13" s="50"/>
      <c r="O13" s="17"/>
      <c r="P13" s="19" t="str">
        <f>IF(N13&gt;0,(N13*VLOOKUP(Lookups!$K$11,Lookups!$M$10:$P$40,4,0)/VLOOKUP(O13,Lookups!$M$10:$P$40,4,0)),"")</f>
        <v/>
      </c>
      <c r="Q13" s="77" t="s">
        <v>942</v>
      </c>
      <c r="R13" s="17" t="s">
        <v>621</v>
      </c>
      <c r="S13" s="13" t="s">
        <v>878</v>
      </c>
      <c r="T13" s="13"/>
      <c r="U13" s="13"/>
    </row>
    <row r="14" spans="1:21" s="40" customFormat="1" ht="60" hidden="1" customHeight="1" outlineLevel="1" x14ac:dyDescent="0.2">
      <c r="A14" s="46" t="s">
        <v>688</v>
      </c>
      <c r="B14" s="46" t="s">
        <v>594</v>
      </c>
      <c r="C14" s="46" t="s">
        <v>995</v>
      </c>
      <c r="D14" s="46" t="s">
        <v>880</v>
      </c>
      <c r="E14" s="13" t="s">
        <v>1373</v>
      </c>
      <c r="F14" s="13" t="s">
        <v>629</v>
      </c>
      <c r="G14" s="13" t="s">
        <v>225</v>
      </c>
      <c r="H14" s="50">
        <v>431.33</v>
      </c>
      <c r="I14" s="17" t="s">
        <v>663</v>
      </c>
      <c r="J14" s="19">
        <f>IF(H14&gt;0,(H14*VLOOKUP(Lookups!$K$11,Lookups!$M$10:$P$40,4,0)/VLOOKUP(I14,Lookups!$M$10:$P$40,4,0)),"")</f>
        <v>482.84607362923452</v>
      </c>
      <c r="K14" s="50"/>
      <c r="L14" s="17"/>
      <c r="M14" s="19" t="str">
        <f>IF(K14&gt;0,(K14*VLOOKUP(Lookups!$K$11,Lookups!$M$10:$P$40,4,0)/VLOOKUP(L14,Lookups!$M$10:$P$40,4,0)),"")</f>
        <v/>
      </c>
      <c r="N14" s="50"/>
      <c r="O14" s="17"/>
      <c r="P14" s="19" t="str">
        <f>IF(N14&gt;0,(N14*VLOOKUP(Lookups!$K$11,Lookups!$M$10:$P$40,4,0)/VLOOKUP(O14,Lookups!$M$10:$P$40,4,0)),"")</f>
        <v/>
      </c>
      <c r="Q14" s="77" t="s">
        <v>943</v>
      </c>
      <c r="R14" s="17" t="s">
        <v>621</v>
      </c>
      <c r="S14" s="13" t="s">
        <v>890</v>
      </c>
      <c r="T14" s="13"/>
      <c r="U14" s="13"/>
    </row>
    <row r="15" spans="1:21" s="40" customFormat="1" ht="60" hidden="1" customHeight="1" outlineLevel="1" x14ac:dyDescent="0.2">
      <c r="A15" s="46" t="s">
        <v>688</v>
      </c>
      <c r="B15" s="46" t="s">
        <v>594</v>
      </c>
      <c r="C15" s="46" t="s">
        <v>996</v>
      </c>
      <c r="D15" s="46" t="s">
        <v>2375</v>
      </c>
      <c r="E15" s="13" t="s">
        <v>1392</v>
      </c>
      <c r="F15" s="13" t="s">
        <v>629</v>
      </c>
      <c r="G15" s="13" t="s">
        <v>225</v>
      </c>
      <c r="H15" s="15">
        <v>48</v>
      </c>
      <c r="I15" s="17" t="s">
        <v>727</v>
      </c>
      <c r="J15" s="19">
        <f>IF(H15&gt;0,(H15*VLOOKUP(Lookups!$K$11,Lookups!$M$10:$P$40,4,0)/VLOOKUP(I15,Lookups!$M$10:$P$40,4,0)),"")</f>
        <v>49.499423999999991</v>
      </c>
      <c r="K15" s="15"/>
      <c r="L15" s="17"/>
      <c r="M15" s="19" t="str">
        <f>IF(K15&gt;0,(K15*VLOOKUP(Lookups!$K$11,Lookups!$M$10:$P$40,4,0)/VLOOKUP(L15,Lookups!$M$10:$P$40,4,0)),"")</f>
        <v/>
      </c>
      <c r="N15" s="15"/>
      <c r="O15" s="17"/>
      <c r="P15" s="19" t="str">
        <f>IF(N15&gt;0,(N15*VLOOKUP(Lookups!$K$11,Lookups!$M$10:$P$40,4,0)/VLOOKUP(O15,Lookups!$M$10:$P$40,4,0)),"")</f>
        <v/>
      </c>
      <c r="Q15" s="77" t="s">
        <v>2376</v>
      </c>
      <c r="R15" s="17" t="s">
        <v>621</v>
      </c>
      <c r="S15" s="13" t="s">
        <v>2377</v>
      </c>
      <c r="T15" s="4" t="s">
        <v>1912</v>
      </c>
      <c r="U15" s="110" t="s">
        <v>2242</v>
      </c>
    </row>
    <row r="16" spans="1:21" s="40" customFormat="1" ht="60" hidden="1" customHeight="1" outlineLevel="1" x14ac:dyDescent="0.2">
      <c r="A16" s="46" t="s">
        <v>688</v>
      </c>
      <c r="B16" s="46" t="s">
        <v>594</v>
      </c>
      <c r="C16" s="46" t="s">
        <v>997</v>
      </c>
      <c r="D16" s="46" t="s">
        <v>881</v>
      </c>
      <c r="E16" s="13" t="s">
        <v>623</v>
      </c>
      <c r="F16" s="13" t="s">
        <v>629</v>
      </c>
      <c r="G16" s="13" t="s">
        <v>225</v>
      </c>
      <c r="H16" s="15">
        <v>36</v>
      </c>
      <c r="I16" s="17" t="s">
        <v>727</v>
      </c>
      <c r="J16" s="19">
        <f>IF(H16&gt;0,(H16*VLOOKUP(Lookups!$K$11,Lookups!$M$10:$P$40,4,0)/VLOOKUP(I16,Lookups!$M$10:$P$40,4,0)),"")</f>
        <v>37.124567999999996</v>
      </c>
      <c r="K16" s="15"/>
      <c r="L16" s="17"/>
      <c r="M16" s="19" t="str">
        <f>IF(K16&gt;0,(K16*VLOOKUP(Lookups!$K$11,Lookups!$M$10:$P$40,4,0)/VLOOKUP(L16,Lookups!$M$10:$P$40,4,0)),"")</f>
        <v/>
      </c>
      <c r="N16" s="15"/>
      <c r="O16" s="17"/>
      <c r="P16" s="19" t="str">
        <f>IF(N16&gt;0,(N16*VLOOKUP(Lookups!$K$11,Lookups!$M$10:$P$40,4,0)/VLOOKUP(O16,Lookups!$M$10:$P$40,4,0)),"")</f>
        <v/>
      </c>
      <c r="Q16" s="77" t="s">
        <v>2378</v>
      </c>
      <c r="R16" s="17" t="s">
        <v>621</v>
      </c>
      <c r="S16" s="13" t="s">
        <v>2379</v>
      </c>
      <c r="T16" s="13" t="s">
        <v>1912</v>
      </c>
      <c r="U16" s="110" t="s">
        <v>2242</v>
      </c>
    </row>
    <row r="17" spans="1:21" s="40" customFormat="1" ht="60" hidden="1" customHeight="1" outlineLevel="1" x14ac:dyDescent="0.2">
      <c r="A17" s="46" t="s">
        <v>688</v>
      </c>
      <c r="B17" s="46" t="s">
        <v>594</v>
      </c>
      <c r="C17" s="46" t="s">
        <v>998</v>
      </c>
      <c r="D17" s="46" t="s">
        <v>884</v>
      </c>
      <c r="E17" s="13" t="s">
        <v>623</v>
      </c>
      <c r="F17" s="13" t="s">
        <v>629</v>
      </c>
      <c r="G17" s="13" t="s">
        <v>225</v>
      </c>
      <c r="H17" s="15">
        <v>17.7</v>
      </c>
      <c r="I17" s="17" t="s">
        <v>727</v>
      </c>
      <c r="J17" s="19">
        <f>IF(H17&gt;0,(H17*VLOOKUP(Lookups!$K$11,Lookups!$M$10:$P$40,4,0)/VLOOKUP(I17,Lookups!$M$10:$P$40,4,0)),"")</f>
        <v>18.252912599999995</v>
      </c>
      <c r="K17" s="15"/>
      <c r="L17" s="17"/>
      <c r="M17" s="19" t="str">
        <f>IF(K17&gt;0,(K17*VLOOKUP(Lookups!$K$11,Lookups!$M$10:$P$40,4,0)/VLOOKUP(L17,Lookups!$M$10:$P$40,4,0)),"")</f>
        <v/>
      </c>
      <c r="N17" s="15"/>
      <c r="O17" s="17"/>
      <c r="P17" s="19" t="str">
        <f>IF(N17&gt;0,(N17*VLOOKUP(Lookups!$K$11,Lookups!$M$10:$P$40,4,0)/VLOOKUP(O17,Lookups!$M$10:$P$40,4,0)),"")</f>
        <v/>
      </c>
      <c r="Q17" s="77" t="s">
        <v>2380</v>
      </c>
      <c r="R17" s="17" t="s">
        <v>621</v>
      </c>
      <c r="S17" s="13" t="s">
        <v>2056</v>
      </c>
      <c r="T17" s="13" t="s">
        <v>1912</v>
      </c>
      <c r="U17" s="110" t="s">
        <v>2242</v>
      </c>
    </row>
    <row r="18" spans="1:21" s="90" customFormat="1" ht="60" customHeight="1" collapsed="1" x14ac:dyDescent="0.2">
      <c r="A18" s="44" t="s">
        <v>688</v>
      </c>
      <c r="B18" s="44" t="s">
        <v>595</v>
      </c>
      <c r="C18" s="44" t="s">
        <v>1974</v>
      </c>
      <c r="D18" s="44" t="s">
        <v>60</v>
      </c>
      <c r="E18" s="37" t="s">
        <v>634</v>
      </c>
      <c r="F18" s="37" t="s">
        <v>614</v>
      </c>
      <c r="G18" s="37" t="s">
        <v>629</v>
      </c>
      <c r="H18" s="89">
        <v>3614</v>
      </c>
      <c r="I18" s="17" t="s">
        <v>727</v>
      </c>
      <c r="J18" s="19">
        <f>IF(H18&gt;0,(H18*VLOOKUP(Lookups!$K$11,Lookups!$M$10:$P$40,4,0)/VLOOKUP(I18,Lookups!$M$10:$P$40,4,0)),"")</f>
        <v>3726.8941319999994</v>
      </c>
      <c r="K18" s="89">
        <v>8954</v>
      </c>
      <c r="L18" s="17" t="s">
        <v>727</v>
      </c>
      <c r="M18" s="19">
        <f>IF(K18&gt;0,(K18*VLOOKUP(Lookups!$K$11,Lookups!$M$10:$P$40,4,0)/VLOOKUP(L18,Lookups!$M$10:$P$40,4,0)),"")</f>
        <v>9233.7050519999975</v>
      </c>
      <c r="N18" s="89">
        <v>3814</v>
      </c>
      <c r="O18" s="17" t="s">
        <v>727</v>
      </c>
      <c r="P18" s="19">
        <f>IF(N18&gt;0,(N18*VLOOKUP(Lookups!$K$11,Lookups!$M$10:$P$40,4,0)/VLOOKUP(O18,Lookups!$M$10:$P$40,4,0)),"")</f>
        <v>3933.1417319999991</v>
      </c>
      <c r="Q18" s="78" t="s">
        <v>103</v>
      </c>
      <c r="R18" s="17" t="s">
        <v>619</v>
      </c>
      <c r="S18" s="37" t="s">
        <v>109</v>
      </c>
      <c r="T18" s="13" t="s">
        <v>1912</v>
      </c>
      <c r="U18" s="13" t="s">
        <v>102</v>
      </c>
    </row>
    <row r="19" spans="1:21" s="90" customFormat="1" ht="60" hidden="1" customHeight="1" outlineLevel="2" x14ac:dyDescent="0.2">
      <c r="A19" s="37" t="s">
        <v>688</v>
      </c>
      <c r="B19" s="37" t="s">
        <v>595</v>
      </c>
      <c r="C19" s="37" t="s">
        <v>1581</v>
      </c>
      <c r="D19" s="45" t="s">
        <v>893</v>
      </c>
      <c r="E19" s="37" t="s">
        <v>634</v>
      </c>
      <c r="F19" s="37" t="s">
        <v>614</v>
      </c>
      <c r="G19" s="37" t="s">
        <v>682</v>
      </c>
      <c r="H19" s="89">
        <v>1408</v>
      </c>
      <c r="I19" s="17" t="s">
        <v>664</v>
      </c>
      <c r="J19" s="19">
        <f>IF(H19&gt;0,(H19*VLOOKUP(Lookups!$K$11,Lookups!$M$10:$P$40,4,0)/VLOOKUP(I19,Lookups!$M$10:$P$40,4,0)),"")</f>
        <v>1533.7119059580743</v>
      </c>
      <c r="K19" s="89">
        <v>2515</v>
      </c>
      <c r="L19" s="17" t="s">
        <v>664</v>
      </c>
      <c r="M19" s="19">
        <f>IF(K19&gt;0,(K19*VLOOKUP(Lookups!$K$11,Lookups!$M$10:$P$40,4,0)/VLOOKUP(L19,Lookups!$M$10:$P$40,4,0)),"")</f>
        <v>2739.5493206566452</v>
      </c>
      <c r="N19" s="89">
        <v>1006</v>
      </c>
      <c r="O19" s="17" t="s">
        <v>664</v>
      </c>
      <c r="P19" s="19">
        <f>IF(N19&gt;0,(N19*VLOOKUP(Lookups!$K$11,Lookups!$M$10:$P$40,4,0)/VLOOKUP(O19,Lookups!$M$10:$P$40,4,0)),"")</f>
        <v>1095.8197282626581</v>
      </c>
      <c r="Q19" s="78" t="s">
        <v>892</v>
      </c>
      <c r="R19" s="17" t="s">
        <v>621</v>
      </c>
      <c r="S19" s="37" t="s">
        <v>1992</v>
      </c>
      <c r="T19" s="13" t="s">
        <v>1912</v>
      </c>
      <c r="U19" s="13" t="s">
        <v>552</v>
      </c>
    </row>
    <row r="20" spans="1:21" s="90" customFormat="1" ht="60" hidden="1" customHeight="1" outlineLevel="2" x14ac:dyDescent="0.2">
      <c r="A20" s="37" t="s">
        <v>688</v>
      </c>
      <c r="B20" s="37" t="s">
        <v>595</v>
      </c>
      <c r="C20" s="37" t="s">
        <v>1582</v>
      </c>
      <c r="D20" s="45" t="s">
        <v>894</v>
      </c>
      <c r="E20" s="37" t="s">
        <v>634</v>
      </c>
      <c r="F20" s="37" t="s">
        <v>629</v>
      </c>
      <c r="G20" s="37" t="s">
        <v>676</v>
      </c>
      <c r="H20" s="89">
        <v>101</v>
      </c>
      <c r="I20" s="17" t="s">
        <v>664</v>
      </c>
      <c r="J20" s="19">
        <f>IF(H20&gt;0,(H20*VLOOKUP(Lookups!$K$11,Lookups!$M$10:$P$40,4,0)/VLOOKUP(I20,Lookups!$M$10:$P$40,4,0)),"")</f>
        <v>110.01768643591299</v>
      </c>
      <c r="K20" s="89">
        <v>2515</v>
      </c>
      <c r="L20" s="17" t="s">
        <v>664</v>
      </c>
      <c r="M20" s="19">
        <f>IF(K20&gt;0,(K20*VLOOKUP(Lookups!$K$11,Lookups!$M$10:$P$40,4,0)/VLOOKUP(L20,Lookups!$M$10:$P$40,4,0)),"")</f>
        <v>2739.5493206566452</v>
      </c>
      <c r="N20" s="89">
        <v>1006</v>
      </c>
      <c r="O20" s="17" t="s">
        <v>664</v>
      </c>
      <c r="P20" s="19">
        <f>IF(N20&gt;0,(N20*VLOOKUP(Lookups!$K$11,Lookups!$M$10:$P$40,4,0)/VLOOKUP(O20,Lookups!$M$10:$P$40,4,0)),"")</f>
        <v>1095.8197282626581</v>
      </c>
      <c r="Q20" s="78" t="s">
        <v>892</v>
      </c>
      <c r="R20" s="17" t="s">
        <v>621</v>
      </c>
      <c r="S20" s="37" t="s">
        <v>1993</v>
      </c>
      <c r="T20" s="13" t="s">
        <v>1912</v>
      </c>
      <c r="U20" s="13" t="s">
        <v>552</v>
      </c>
    </row>
    <row r="21" spans="1:21" s="90" customFormat="1" ht="60" hidden="1" customHeight="1" outlineLevel="2" x14ac:dyDescent="0.2">
      <c r="A21" s="37" t="s">
        <v>688</v>
      </c>
      <c r="B21" s="37" t="s">
        <v>595</v>
      </c>
      <c r="C21" s="37" t="s">
        <v>1583</v>
      </c>
      <c r="D21" s="45" t="s">
        <v>891</v>
      </c>
      <c r="E21" s="37" t="s">
        <v>634</v>
      </c>
      <c r="F21" s="37" t="s">
        <v>629</v>
      </c>
      <c r="G21" s="37" t="s">
        <v>676</v>
      </c>
      <c r="H21" s="89">
        <f>1686*52/51</f>
        <v>1719.0588235294117</v>
      </c>
      <c r="I21" s="17" t="s">
        <v>660</v>
      </c>
      <c r="J21" s="19">
        <f>IF(H21&gt;0,(H21*VLOOKUP(Lookups!$K$11,Lookups!$M$10:$P$40,4,0)/VLOOKUP(I21,Lookups!$M$10:$P$40,4,0)),"")</f>
        <v>2082.8834447535678</v>
      </c>
      <c r="K21" s="89"/>
      <c r="L21" s="17"/>
      <c r="M21" s="19" t="str">
        <f>IF(K21&gt;0,(K21*VLOOKUP(Lookups!$K$11,Lookups!$M$10:$P$40,4,0)/VLOOKUP(L21,Lookups!$M$10:$P$40,4,0)),"")</f>
        <v/>
      </c>
      <c r="N21" s="89"/>
      <c r="O21" s="17"/>
      <c r="P21" s="19" t="str">
        <f>IF(N21&gt;0,(N21*VLOOKUP(Lookups!$K$11,Lookups!$M$10:$P$40,4,0)/VLOOKUP(O21,Lookups!$M$10:$P$40,4,0)),"")</f>
        <v/>
      </c>
      <c r="Q21" s="91" t="s">
        <v>545</v>
      </c>
      <c r="R21" s="17" t="s">
        <v>619</v>
      </c>
      <c r="S21" s="37" t="s">
        <v>544</v>
      </c>
      <c r="T21" s="37"/>
      <c r="U21" s="37"/>
    </row>
    <row r="22" spans="1:21" s="90" customFormat="1" ht="60" hidden="1" customHeight="1" outlineLevel="1" x14ac:dyDescent="0.2">
      <c r="A22" s="46" t="s">
        <v>688</v>
      </c>
      <c r="B22" s="46" t="s">
        <v>595</v>
      </c>
      <c r="C22" s="46" t="s">
        <v>968</v>
      </c>
      <c r="D22" s="46" t="s">
        <v>553</v>
      </c>
      <c r="E22" s="37" t="s">
        <v>1343</v>
      </c>
      <c r="F22" s="37" t="s">
        <v>614</v>
      </c>
      <c r="G22" s="37" t="s">
        <v>629</v>
      </c>
      <c r="H22" s="89">
        <v>2026</v>
      </c>
      <c r="I22" s="17" t="s">
        <v>664</v>
      </c>
      <c r="J22" s="19">
        <f>IF(H22&gt;0,(H22*VLOOKUP(Lookups!$K$11,Lookups!$M$10:$P$40,4,0)/VLOOKUP(I22,Lookups!$M$10:$P$40,4,0)),"")</f>
        <v>2206.8894328629676</v>
      </c>
      <c r="K22" s="89">
        <v>3376</v>
      </c>
      <c r="L22" s="17" t="s">
        <v>664</v>
      </c>
      <c r="M22" s="19">
        <f>IF(K22&gt;0,(K22*VLOOKUP(Lookups!$K$11,Lookups!$M$10:$P$40,4,0)/VLOOKUP(L22,Lookups!$M$10:$P$40,4,0)),"")</f>
        <v>3677.4228654222006</v>
      </c>
      <c r="N22" s="89">
        <v>1350</v>
      </c>
      <c r="O22" s="17" t="s">
        <v>664</v>
      </c>
      <c r="P22" s="19">
        <f>IF(N22&gt;0,(N22*VLOOKUP(Lookups!$K$11,Lookups!$M$10:$P$40,4,0)/VLOOKUP(O22,Lookups!$M$10:$P$40,4,0)),"")</f>
        <v>1470.5334325592332</v>
      </c>
      <c r="Q22" s="78" t="s">
        <v>549</v>
      </c>
      <c r="R22" s="17" t="s">
        <v>621</v>
      </c>
      <c r="S22" s="37" t="s">
        <v>2060</v>
      </c>
      <c r="T22" s="13" t="s">
        <v>1912</v>
      </c>
      <c r="U22" s="13" t="s">
        <v>552</v>
      </c>
    </row>
    <row r="23" spans="1:21" s="90" customFormat="1" ht="60" hidden="1" customHeight="1" outlineLevel="2" x14ac:dyDescent="0.2">
      <c r="A23" s="37" t="s">
        <v>688</v>
      </c>
      <c r="B23" s="37" t="s">
        <v>595</v>
      </c>
      <c r="C23" s="37" t="s">
        <v>1584</v>
      </c>
      <c r="D23" s="45" t="s">
        <v>550</v>
      </c>
      <c r="E23" s="37" t="s">
        <v>1343</v>
      </c>
      <c r="F23" s="37" t="s">
        <v>614</v>
      </c>
      <c r="G23" s="37" t="s">
        <v>682</v>
      </c>
      <c r="H23" s="89">
        <v>1891</v>
      </c>
      <c r="I23" s="17" t="s">
        <v>664</v>
      </c>
      <c r="J23" s="19">
        <f>IF(H23&gt;0,(H23*VLOOKUP(Lookups!$K$11,Lookups!$M$10:$P$40,4,0)/VLOOKUP(I23,Lookups!$M$10:$P$40,4,0)),"")</f>
        <v>2059.8360896070444</v>
      </c>
      <c r="K23" s="89"/>
      <c r="L23" s="17"/>
      <c r="M23" s="19" t="str">
        <f>IF(K23&gt;0,(K23*VLOOKUP(Lookups!$K$11,Lookups!$M$10:$P$40,4,0)/VLOOKUP(L23,Lookups!$M$10:$P$40,4,0)),"")</f>
        <v/>
      </c>
      <c r="N23" s="89"/>
      <c r="O23" s="17"/>
      <c r="P23" s="19" t="str">
        <f>IF(N23&gt;0,(N23*VLOOKUP(Lookups!$K$11,Lookups!$M$10:$P$40,4,0)/VLOOKUP(O23,Lookups!$M$10:$P$40,4,0)),"")</f>
        <v/>
      </c>
      <c r="Q23" s="78" t="s">
        <v>549</v>
      </c>
      <c r="R23" s="17" t="s">
        <v>621</v>
      </c>
      <c r="S23" s="37" t="s">
        <v>2039</v>
      </c>
      <c r="T23" s="37"/>
      <c r="U23" s="37"/>
    </row>
    <row r="24" spans="1:21" s="90" customFormat="1" ht="60" hidden="1" customHeight="1" outlineLevel="2" x14ac:dyDescent="0.2">
      <c r="A24" s="37" t="s">
        <v>688</v>
      </c>
      <c r="B24" s="37" t="s">
        <v>595</v>
      </c>
      <c r="C24" s="37" t="s">
        <v>1585</v>
      </c>
      <c r="D24" s="45" t="s">
        <v>551</v>
      </c>
      <c r="E24" s="37" t="s">
        <v>1343</v>
      </c>
      <c r="F24" s="37" t="s">
        <v>629</v>
      </c>
      <c r="G24" s="37" t="s">
        <v>676</v>
      </c>
      <c r="H24" s="89">
        <v>135</v>
      </c>
      <c r="I24" s="17" t="s">
        <v>664</v>
      </c>
      <c r="J24" s="19">
        <f>IF(H24&gt;0,(H24*VLOOKUP(Lookups!$K$11,Lookups!$M$10:$P$40,4,0)/VLOOKUP(I24,Lookups!$M$10:$P$40,4,0)),"")</f>
        <v>147.05334325592329</v>
      </c>
      <c r="K24" s="89"/>
      <c r="L24" s="17"/>
      <c r="M24" s="19" t="str">
        <f>IF(K24&gt;0,(K24*VLOOKUP(Lookups!$K$11,Lookups!$M$10:$P$40,4,0)/VLOOKUP(L24,Lookups!$M$10:$P$40,4,0)),"")</f>
        <v/>
      </c>
      <c r="N24" s="89"/>
      <c r="O24" s="17"/>
      <c r="P24" s="19" t="str">
        <f>IF(N24&gt;0,(N24*VLOOKUP(Lookups!$K$11,Lookups!$M$10:$P$40,4,0)/VLOOKUP(O24,Lookups!$M$10:$P$40,4,0)),"")</f>
        <v/>
      </c>
      <c r="Q24" s="78" t="s">
        <v>549</v>
      </c>
      <c r="R24" s="17" t="s">
        <v>621</v>
      </c>
      <c r="S24" s="37" t="s">
        <v>1742</v>
      </c>
      <c r="T24" s="37"/>
      <c r="U24" s="37"/>
    </row>
    <row r="25" spans="1:21" s="90" customFormat="1" ht="60" hidden="1" customHeight="1" outlineLevel="1" x14ac:dyDescent="0.2">
      <c r="A25" s="46" t="s">
        <v>688</v>
      </c>
      <c r="B25" s="46" t="s">
        <v>595</v>
      </c>
      <c r="C25" s="46" t="s">
        <v>999</v>
      </c>
      <c r="D25" s="46" t="s">
        <v>895</v>
      </c>
      <c r="E25" s="37" t="s">
        <v>634</v>
      </c>
      <c r="F25" s="37" t="s">
        <v>629</v>
      </c>
      <c r="G25" s="37" t="s">
        <v>676</v>
      </c>
      <c r="H25" s="89">
        <v>2604</v>
      </c>
      <c r="I25" s="17" t="s">
        <v>726</v>
      </c>
      <c r="J25" s="19">
        <f>IF(H25&gt;0,(H25*VLOOKUP(Lookups!$K$11,Lookups!$M$10:$P$40,4,0)/VLOOKUP(I25,Lookups!$M$10:$P$40,4,0)),"")</f>
        <v>2742.3535998549601</v>
      </c>
      <c r="K25" s="89"/>
      <c r="L25" s="17"/>
      <c r="M25" s="19" t="str">
        <f>IF(K25&gt;0,(K25*VLOOKUP(Lookups!$K$11,Lookups!$M$10:$P$40,4,0)/VLOOKUP(L25,Lookups!$M$10:$P$40,4,0)),"")</f>
        <v/>
      </c>
      <c r="N25" s="89"/>
      <c r="O25" s="17"/>
      <c r="P25" s="19" t="str">
        <f>IF(N25&gt;0,(N25*VLOOKUP(Lookups!$K$11,Lookups!$M$10:$P$40,4,0)/VLOOKUP(O25,Lookups!$M$10:$P$40,4,0)),"")</f>
        <v/>
      </c>
      <c r="Q25" s="78" t="s">
        <v>896</v>
      </c>
      <c r="R25" s="17" t="s">
        <v>621</v>
      </c>
      <c r="S25" s="37" t="s">
        <v>547</v>
      </c>
      <c r="T25" s="37"/>
      <c r="U25" s="37"/>
    </row>
    <row r="26" spans="1:21" s="40" customFormat="1" ht="60" hidden="1" customHeight="1" outlineLevel="1" x14ac:dyDescent="0.2">
      <c r="A26" s="46" t="s">
        <v>688</v>
      </c>
      <c r="B26" s="46" t="s">
        <v>595</v>
      </c>
      <c r="C26" s="46" t="s">
        <v>1000</v>
      </c>
      <c r="D26" s="46" t="s">
        <v>243</v>
      </c>
      <c r="E26" s="13" t="s">
        <v>1372</v>
      </c>
      <c r="F26" s="13" t="s">
        <v>629</v>
      </c>
      <c r="G26" s="13" t="s">
        <v>225</v>
      </c>
      <c r="H26" s="15">
        <v>429</v>
      </c>
      <c r="I26" s="17" t="s">
        <v>727</v>
      </c>
      <c r="J26" s="19">
        <f>IF(H26&gt;0,(H26*VLOOKUP(Lookups!$K$11,Lookups!$M$10:$P$40,4,0)/VLOOKUP(I26,Lookups!$M$10:$P$40,4,0)),"")</f>
        <v>442.40110199999992</v>
      </c>
      <c r="K26" s="15"/>
      <c r="L26" s="17"/>
      <c r="M26" s="19" t="str">
        <f>IF(K26&gt;0,(K26*VLOOKUP(Lookups!$K$11,Lookups!$M$10:$P$40,4,0)/VLOOKUP(L26,Lookups!$M$10:$P$40,4,0)),"")</f>
        <v/>
      </c>
      <c r="N26" s="15"/>
      <c r="O26" s="17"/>
      <c r="P26" s="19" t="str">
        <f>IF(N26&gt;0,(N26*VLOOKUP(Lookups!$K$11,Lookups!$M$10:$P$40,4,0)/VLOOKUP(O26,Lookups!$M$10:$P$40,4,0)),"")</f>
        <v/>
      </c>
      <c r="Q26" s="78" t="s">
        <v>244</v>
      </c>
      <c r="R26" s="17" t="s">
        <v>621</v>
      </c>
      <c r="S26" s="13" t="s">
        <v>227</v>
      </c>
      <c r="T26" s="13" t="s">
        <v>1912</v>
      </c>
      <c r="U26" s="13" t="s">
        <v>223</v>
      </c>
    </row>
    <row r="27" spans="1:21" s="40" customFormat="1" ht="60" hidden="1" customHeight="1" outlineLevel="1" x14ac:dyDescent="0.2">
      <c r="A27" s="46" t="s">
        <v>688</v>
      </c>
      <c r="B27" s="46" t="s">
        <v>595</v>
      </c>
      <c r="C27" s="46" t="s">
        <v>1001</v>
      </c>
      <c r="D27" s="46" t="s">
        <v>888</v>
      </c>
      <c r="E27" s="13" t="s">
        <v>1372</v>
      </c>
      <c r="F27" s="13" t="s">
        <v>629</v>
      </c>
      <c r="G27" s="13" t="s">
        <v>225</v>
      </c>
      <c r="H27" s="15">
        <v>172</v>
      </c>
      <c r="I27" s="17" t="s">
        <v>665</v>
      </c>
      <c r="J27" s="19">
        <f>IF(H27&gt;0,(H27*VLOOKUP(Lookups!$K$11,Lookups!$M$10:$P$40,4,0)/VLOOKUP(I27,Lookups!$M$10:$P$40,4,0)),"")</f>
        <v>184.06213984506087</v>
      </c>
      <c r="K27" s="15"/>
      <c r="L27" s="17"/>
      <c r="M27" s="19" t="str">
        <f>IF(K27&gt;0,(K27*VLOOKUP(Lookups!$K$11,Lookups!$M$10:$P$40,4,0)/VLOOKUP(L27,Lookups!$M$10:$P$40,4,0)),"")</f>
        <v/>
      </c>
      <c r="N27" s="15"/>
      <c r="O27" s="17"/>
      <c r="P27" s="19" t="str">
        <f>IF(N27&gt;0,(N27*VLOOKUP(Lookups!$K$11,Lookups!$M$10:$P$40,4,0)/VLOOKUP(O27,Lookups!$M$10:$P$40,4,0)),"")</f>
        <v/>
      </c>
      <c r="Q27" s="78" t="s">
        <v>889</v>
      </c>
      <c r="R27" s="17" t="s">
        <v>619</v>
      </c>
      <c r="S27" s="13" t="s">
        <v>245</v>
      </c>
      <c r="T27" s="13"/>
      <c r="U27" s="120" t="s">
        <v>177</v>
      </c>
    </row>
    <row r="28" spans="1:21" s="40" customFormat="1" ht="60" hidden="1" customHeight="1" outlineLevel="1" x14ac:dyDescent="0.2">
      <c r="A28" s="46" t="s">
        <v>688</v>
      </c>
      <c r="B28" s="46" t="s">
        <v>595</v>
      </c>
      <c r="C28" s="46" t="s">
        <v>1002</v>
      </c>
      <c r="D28" s="46" t="s">
        <v>246</v>
      </c>
      <c r="E28" s="13" t="s">
        <v>1428</v>
      </c>
      <c r="F28" s="13" t="s">
        <v>629</v>
      </c>
      <c r="G28" s="13" t="s">
        <v>225</v>
      </c>
      <c r="H28" s="15">
        <v>104</v>
      </c>
      <c r="I28" s="17" t="s">
        <v>727</v>
      </c>
      <c r="J28" s="19">
        <f>IF(H28&gt;0,(H28*VLOOKUP(Lookups!$K$11,Lookups!$M$10:$P$40,4,0)/VLOOKUP(I28,Lookups!$M$10:$P$40,4,0)),"")</f>
        <v>107.24875199999998</v>
      </c>
      <c r="K28" s="15"/>
      <c r="L28" s="17"/>
      <c r="M28" s="19" t="str">
        <f>IF(K28&gt;0,(K28*VLOOKUP(Lookups!$K$11,Lookups!$M$10:$P$40,4,0)/VLOOKUP(L28,Lookups!$M$10:$P$40,4,0)),"")</f>
        <v/>
      </c>
      <c r="N28" s="15"/>
      <c r="O28" s="17"/>
      <c r="P28" s="19" t="str">
        <f>IF(N28&gt;0,(N28*VLOOKUP(Lookups!$K$11,Lookups!$M$10:$P$40,4,0)/VLOOKUP(O28,Lookups!$M$10:$P$40,4,0)),"")</f>
        <v/>
      </c>
      <c r="Q28" s="78" t="s">
        <v>247</v>
      </c>
      <c r="R28" s="17" t="s">
        <v>621</v>
      </c>
      <c r="S28" s="13" t="s">
        <v>253</v>
      </c>
      <c r="T28" s="13" t="s">
        <v>1912</v>
      </c>
      <c r="U28" s="13" t="s">
        <v>223</v>
      </c>
    </row>
    <row r="29" spans="1:21" s="40" customFormat="1" ht="60" hidden="1" customHeight="1" outlineLevel="1" x14ac:dyDescent="0.2">
      <c r="A29" s="46" t="s">
        <v>688</v>
      </c>
      <c r="B29" s="46" t="s">
        <v>595</v>
      </c>
      <c r="C29" s="46" t="s">
        <v>1003</v>
      </c>
      <c r="D29" s="46" t="s">
        <v>248</v>
      </c>
      <c r="E29" s="13" t="s">
        <v>1428</v>
      </c>
      <c r="F29" s="13" t="s">
        <v>629</v>
      </c>
      <c r="G29" s="13" t="s">
        <v>225</v>
      </c>
      <c r="H29" s="15">
        <v>441</v>
      </c>
      <c r="I29" s="17" t="s">
        <v>727</v>
      </c>
      <c r="J29" s="19">
        <f>IF(H29&gt;0,(H29*VLOOKUP(Lookups!$K$11,Lookups!$M$10:$P$40,4,0)/VLOOKUP(I29,Lookups!$M$10:$P$40,4,0)),"")</f>
        <v>454.77595799999989</v>
      </c>
      <c r="K29" s="15"/>
      <c r="L29" s="17"/>
      <c r="M29" s="19" t="str">
        <f>IF(K29&gt;0,(K29*VLOOKUP(Lookups!$K$11,Lookups!$M$10:$P$40,4,0)/VLOOKUP(L29,Lookups!$M$10:$P$40,4,0)),"")</f>
        <v/>
      </c>
      <c r="N29" s="15"/>
      <c r="O29" s="17"/>
      <c r="P29" s="19" t="str">
        <f>IF(N29&gt;0,(N29*VLOOKUP(Lookups!$K$11,Lookups!$M$10:$P$40,4,0)/VLOOKUP(O29,Lookups!$M$10:$P$40,4,0)),"")</f>
        <v/>
      </c>
      <c r="Q29" s="78" t="s">
        <v>249</v>
      </c>
      <c r="R29" s="17" t="s">
        <v>619</v>
      </c>
      <c r="S29" s="13" t="s">
        <v>252</v>
      </c>
      <c r="T29" s="13" t="s">
        <v>1912</v>
      </c>
      <c r="U29" s="13" t="s">
        <v>223</v>
      </c>
    </row>
    <row r="30" spans="1:21" s="40" customFormat="1" ht="60" hidden="1" customHeight="1" outlineLevel="1" x14ac:dyDescent="0.2">
      <c r="A30" s="46" t="s">
        <v>688</v>
      </c>
      <c r="B30" s="46" t="s">
        <v>595</v>
      </c>
      <c r="C30" s="46" t="s">
        <v>1004</v>
      </c>
      <c r="D30" s="46" t="s">
        <v>885</v>
      </c>
      <c r="E30" s="14" t="s">
        <v>1392</v>
      </c>
      <c r="F30" s="4" t="s">
        <v>629</v>
      </c>
      <c r="G30" s="13" t="s">
        <v>225</v>
      </c>
      <c r="H30" s="11">
        <v>94</v>
      </c>
      <c r="I30" s="17" t="s">
        <v>665</v>
      </c>
      <c r="J30" s="19">
        <f>IF(H30&gt;0,(H30*VLOOKUP(Lookups!$K$11,Lookups!$M$10:$P$40,4,0)/VLOOKUP(I30,Lookups!$M$10:$P$40,4,0)),"")</f>
        <v>100.59209968276583</v>
      </c>
      <c r="K30" s="11"/>
      <c r="L30" s="17"/>
      <c r="M30" s="19" t="str">
        <f>IF(K30&gt;0,(K30*VLOOKUP(Lookups!$K$11,Lookups!$M$10:$P$40,4,0)/VLOOKUP(L30,Lookups!$M$10:$P$40,4,0)),"")</f>
        <v/>
      </c>
      <c r="N30" s="11"/>
      <c r="O30" s="17"/>
      <c r="P30" s="19" t="str">
        <f>IF(N30&gt;0,(N30*VLOOKUP(Lookups!$K$11,Lookups!$M$10:$P$40,4,0)/VLOOKUP(O30,Lookups!$M$10:$P$40,4,0)),"")</f>
        <v/>
      </c>
      <c r="Q30" s="77" t="s">
        <v>886</v>
      </c>
      <c r="R30" s="17" t="s">
        <v>621</v>
      </c>
      <c r="S30" s="4" t="s">
        <v>887</v>
      </c>
      <c r="T30" s="13"/>
      <c r="U30" s="120" t="s">
        <v>177</v>
      </c>
    </row>
    <row r="31" spans="1:21" s="40" customFormat="1" ht="60" hidden="1" customHeight="1" outlineLevel="1" x14ac:dyDescent="0.2">
      <c r="A31" s="46" t="s">
        <v>688</v>
      </c>
      <c r="B31" s="46" t="s">
        <v>595</v>
      </c>
      <c r="C31" s="46" t="s">
        <v>1005</v>
      </c>
      <c r="D31" s="46" t="s">
        <v>250</v>
      </c>
      <c r="E31" s="13" t="s">
        <v>1368</v>
      </c>
      <c r="F31" s="13" t="s">
        <v>629</v>
      </c>
      <c r="G31" s="13" t="s">
        <v>225</v>
      </c>
      <c r="H31" s="15">
        <v>123</v>
      </c>
      <c r="I31" s="17" t="s">
        <v>727</v>
      </c>
      <c r="J31" s="19">
        <f>IF(H31&gt;0,(H31*VLOOKUP(Lookups!$K$11,Lookups!$M$10:$P$40,4,0)/VLOOKUP(I31,Lookups!$M$10:$P$40,4,0)),"")</f>
        <v>126.84227399999997</v>
      </c>
      <c r="K31" s="15"/>
      <c r="L31" s="17"/>
      <c r="M31" s="19" t="str">
        <f>IF(K31&gt;0,(K31*VLOOKUP(Lookups!$K$11,Lookups!$M$10:$P$40,4,0)/VLOOKUP(L31,Lookups!$M$10:$P$40,4,0)),"")</f>
        <v/>
      </c>
      <c r="N31" s="15"/>
      <c r="O31" s="17"/>
      <c r="P31" s="19" t="str">
        <f>IF(N31&gt;0,(N31*VLOOKUP(Lookups!$K$11,Lookups!$M$10:$P$40,4,0)/VLOOKUP(O31,Lookups!$M$10:$P$40,4,0)),"")</f>
        <v/>
      </c>
      <c r="Q31" s="78" t="s">
        <v>251</v>
      </c>
      <c r="R31" s="17" t="s">
        <v>621</v>
      </c>
      <c r="S31" s="13" t="s">
        <v>254</v>
      </c>
      <c r="T31" s="13" t="s">
        <v>1912</v>
      </c>
      <c r="U31" s="13" t="s">
        <v>223</v>
      </c>
    </row>
    <row r="32" spans="1:21" s="40" customFormat="1" ht="60" hidden="1" customHeight="1" outlineLevel="1" x14ac:dyDescent="0.2">
      <c r="A32" s="46" t="s">
        <v>688</v>
      </c>
      <c r="B32" s="46" t="s">
        <v>595</v>
      </c>
      <c r="C32" s="46" t="s">
        <v>1006</v>
      </c>
      <c r="D32" s="46" t="s">
        <v>255</v>
      </c>
      <c r="E32" s="13" t="s">
        <v>1368</v>
      </c>
      <c r="F32" s="13" t="s">
        <v>629</v>
      </c>
      <c r="G32" s="13" t="s">
        <v>225</v>
      </c>
      <c r="H32" s="15">
        <v>263</v>
      </c>
      <c r="I32" s="17" t="s">
        <v>727</v>
      </c>
      <c r="J32" s="19">
        <f>IF(H32&gt;0,(H32*VLOOKUP(Lookups!$K$11,Lookups!$M$10:$P$40,4,0)/VLOOKUP(I32,Lookups!$M$10:$P$40,4,0)),"")</f>
        <v>271.21559399999995</v>
      </c>
      <c r="K32" s="15"/>
      <c r="L32" s="17"/>
      <c r="M32" s="19" t="str">
        <f>IF(K32&gt;0,(K32*VLOOKUP(Lookups!$K$11,Lookups!$M$10:$P$40,4,0)/VLOOKUP(L32,Lookups!$M$10:$P$40,4,0)),"")</f>
        <v/>
      </c>
      <c r="N32" s="15"/>
      <c r="O32" s="17"/>
      <c r="P32" s="19" t="str">
        <f>IF(N32&gt;0,(N32*VLOOKUP(Lookups!$K$11,Lookups!$M$10:$P$40,4,0)/VLOOKUP(O32,Lookups!$M$10:$P$40,4,0)),"")</f>
        <v/>
      </c>
      <c r="Q32" s="78" t="s">
        <v>256</v>
      </c>
      <c r="R32" s="17" t="s">
        <v>621</v>
      </c>
      <c r="S32" s="13" t="s">
        <v>257</v>
      </c>
      <c r="T32" s="13" t="s">
        <v>1912</v>
      </c>
      <c r="U32" s="13" t="s">
        <v>223</v>
      </c>
    </row>
    <row r="33" spans="1:21" s="40" customFormat="1" ht="60" hidden="1" customHeight="1" outlineLevel="1" x14ac:dyDescent="0.2">
      <c r="A33" s="46" t="s">
        <v>688</v>
      </c>
      <c r="B33" s="46" t="s">
        <v>595</v>
      </c>
      <c r="C33" s="46" t="s">
        <v>1007</v>
      </c>
      <c r="D33" s="46" t="s">
        <v>882</v>
      </c>
      <c r="E33" s="14" t="s">
        <v>630</v>
      </c>
      <c r="F33" s="4" t="s">
        <v>629</v>
      </c>
      <c r="G33" s="13" t="s">
        <v>225</v>
      </c>
      <c r="H33" s="11">
        <v>152</v>
      </c>
      <c r="I33" s="17" t="s">
        <v>727</v>
      </c>
      <c r="J33" s="19">
        <f>IF(H33&gt;0,(H33*VLOOKUP(Lookups!$K$11,Lookups!$M$10:$P$40,4,0)/VLOOKUP(I33,Lookups!$M$10:$P$40,4,0)),"")</f>
        <v>156.74817599999997</v>
      </c>
      <c r="K33" s="11"/>
      <c r="L33" s="17"/>
      <c r="M33" s="19" t="str">
        <f>IF(K33&gt;0,(K33*VLOOKUP(Lookups!$K$11,Lookups!$M$10:$P$40,4,0)/VLOOKUP(L33,Lookups!$M$10:$P$40,4,0)),"")</f>
        <v/>
      </c>
      <c r="N33" s="11"/>
      <c r="O33" s="17"/>
      <c r="P33" s="19" t="str">
        <f>IF(N33&gt;0,(N33*VLOOKUP(Lookups!$K$11,Lookups!$M$10:$P$40,4,0)/VLOOKUP(O33,Lookups!$M$10:$P$40,4,0)),"")</f>
        <v/>
      </c>
      <c r="Q33" s="77" t="s">
        <v>2368</v>
      </c>
      <c r="R33" s="17" t="s">
        <v>621</v>
      </c>
      <c r="S33" s="4" t="s">
        <v>2424</v>
      </c>
      <c r="T33" s="4" t="s">
        <v>1912</v>
      </c>
      <c r="U33" s="110" t="s">
        <v>2242</v>
      </c>
    </row>
    <row r="34" spans="1:21" s="40" customFormat="1" ht="60" hidden="1" customHeight="1" outlineLevel="1" x14ac:dyDescent="0.2">
      <c r="A34" s="46" t="s">
        <v>688</v>
      </c>
      <c r="B34" s="46" t="s">
        <v>595</v>
      </c>
      <c r="C34" s="46" t="s">
        <v>1008</v>
      </c>
      <c r="D34" s="46" t="s">
        <v>240</v>
      </c>
      <c r="E34" s="13" t="s">
        <v>1372</v>
      </c>
      <c r="F34" s="13" t="s">
        <v>629</v>
      </c>
      <c r="G34" s="13" t="s">
        <v>225</v>
      </c>
      <c r="H34" s="15">
        <v>330</v>
      </c>
      <c r="I34" s="17" t="s">
        <v>727</v>
      </c>
      <c r="J34" s="19">
        <f>IF(H34&gt;0,(H34*VLOOKUP(Lookups!$K$11,Lookups!$M$10:$P$40,4,0)/VLOOKUP(I34,Lookups!$M$10:$P$40,4,0)),"")</f>
        <v>340.30853999999994</v>
      </c>
      <c r="K34" s="15"/>
      <c r="L34" s="17"/>
      <c r="M34" s="19" t="str">
        <f>IF(K34&gt;0,(K34*VLOOKUP(Lookups!$K$11,Lookups!$M$10:$P$40,4,0)/VLOOKUP(L34,Lookups!$M$10:$P$40,4,0)),"")</f>
        <v/>
      </c>
      <c r="N34" s="15"/>
      <c r="O34" s="17"/>
      <c r="P34" s="19" t="str">
        <f>IF(N34&gt;0,(N34*VLOOKUP(Lookups!$K$11,Lookups!$M$10:$P$40,4,0)/VLOOKUP(O34,Lookups!$M$10:$P$40,4,0)),"")</f>
        <v/>
      </c>
      <c r="Q34" s="78" t="s">
        <v>241</v>
      </c>
      <c r="R34" s="17" t="s">
        <v>621</v>
      </c>
      <c r="S34" s="13" t="s">
        <v>242</v>
      </c>
      <c r="T34" s="13" t="s">
        <v>1912</v>
      </c>
      <c r="U34" s="13" t="s">
        <v>223</v>
      </c>
    </row>
    <row r="35" spans="1:21" s="40" customFormat="1" ht="60" hidden="1" customHeight="1" outlineLevel="1" x14ac:dyDescent="0.2">
      <c r="A35" s="46" t="s">
        <v>688</v>
      </c>
      <c r="B35" s="46" t="s">
        <v>595</v>
      </c>
      <c r="C35" s="46" t="s">
        <v>1009</v>
      </c>
      <c r="D35" s="46" t="s">
        <v>883</v>
      </c>
      <c r="E35" s="14" t="s">
        <v>631</v>
      </c>
      <c r="F35" s="4" t="s">
        <v>629</v>
      </c>
      <c r="G35" s="4" t="s">
        <v>1384</v>
      </c>
      <c r="H35" s="11">
        <v>633</v>
      </c>
      <c r="I35" s="17" t="s">
        <v>727</v>
      </c>
      <c r="J35" s="19">
        <f>IF(H35&gt;0,(H35*VLOOKUP(Lookups!$K$11,Lookups!$M$10:$P$40,4,0)/VLOOKUP(I35,Lookups!$M$10:$P$40,4,0)),"")</f>
        <v>652.77365399999985</v>
      </c>
      <c r="K35" s="11"/>
      <c r="L35" s="17"/>
      <c r="M35" s="19" t="str">
        <f>IF(K35&gt;0,(K35*VLOOKUP(Lookups!$K$11,Lookups!$M$10:$P$40,4,0)/VLOOKUP(L35,Lookups!$M$10:$P$40,4,0)),"")</f>
        <v/>
      </c>
      <c r="N35" s="11"/>
      <c r="O35" s="17"/>
      <c r="P35" s="19" t="str">
        <f>IF(N35&gt;0,(N35*VLOOKUP(Lookups!$K$11,Lookups!$M$10:$P$40,4,0)/VLOOKUP(O35,Lookups!$M$10:$P$40,4,0)),"")</f>
        <v/>
      </c>
      <c r="Q35" s="77" t="s">
        <v>2369</v>
      </c>
      <c r="R35" s="17" t="s">
        <v>619</v>
      </c>
      <c r="S35" s="13" t="s">
        <v>2423</v>
      </c>
      <c r="T35" s="4" t="s">
        <v>1912</v>
      </c>
      <c r="U35" s="110" t="s">
        <v>2242</v>
      </c>
    </row>
    <row r="36" spans="1:21" s="40" customFormat="1" ht="60" hidden="1" customHeight="1" outlineLevel="1" x14ac:dyDescent="0.2">
      <c r="A36" s="46" t="s">
        <v>688</v>
      </c>
      <c r="B36" s="46" t="s">
        <v>595</v>
      </c>
      <c r="C36" s="46" t="s">
        <v>1010</v>
      </c>
      <c r="D36" s="46" t="s">
        <v>2426</v>
      </c>
      <c r="E36" s="14" t="s">
        <v>631</v>
      </c>
      <c r="F36" s="4" t="s">
        <v>629</v>
      </c>
      <c r="G36" s="13" t="s">
        <v>225</v>
      </c>
      <c r="H36" s="11">
        <v>52</v>
      </c>
      <c r="I36" s="17" t="s">
        <v>727</v>
      </c>
      <c r="J36" s="19">
        <f>IF(H36&gt;0,(H36*VLOOKUP(Lookups!$K$11,Lookups!$M$10:$P$40,4,0)/VLOOKUP(I36,Lookups!$M$10:$P$40,4,0)),"")</f>
        <v>53.624375999999991</v>
      </c>
      <c r="K36" s="11"/>
      <c r="L36" s="17"/>
      <c r="M36" s="19" t="str">
        <f>IF(K36&gt;0,(K36*VLOOKUP(Lookups!$K$11,Lookups!$M$10:$P$40,4,0)/VLOOKUP(L36,Lookups!$M$10:$P$40,4,0)),"")</f>
        <v/>
      </c>
      <c r="N36" s="11"/>
      <c r="O36" s="17"/>
      <c r="P36" s="19" t="str">
        <f>IF(N36&gt;0,(N36*VLOOKUP(Lookups!$K$11,Lookups!$M$10:$P$40,4,0)/VLOOKUP(O36,Lookups!$M$10:$P$40,4,0)),"")</f>
        <v/>
      </c>
      <c r="Q36" s="77" t="s">
        <v>2427</v>
      </c>
      <c r="R36" s="17" t="s">
        <v>621</v>
      </c>
      <c r="S36" s="13" t="s">
        <v>2428</v>
      </c>
      <c r="T36" s="4" t="s">
        <v>1911</v>
      </c>
      <c r="U36" s="13" t="s">
        <v>2421</v>
      </c>
    </row>
    <row r="37" spans="1:21" s="40" customFormat="1" ht="60" hidden="1" customHeight="1" outlineLevel="1" x14ac:dyDescent="0.2">
      <c r="A37" s="46" t="s">
        <v>688</v>
      </c>
      <c r="B37" s="46" t="s">
        <v>595</v>
      </c>
      <c r="C37" s="46" t="s">
        <v>1011</v>
      </c>
      <c r="D37" s="46" t="s">
        <v>546</v>
      </c>
      <c r="E37" s="14" t="s">
        <v>631</v>
      </c>
      <c r="F37" s="4" t="s">
        <v>629</v>
      </c>
      <c r="G37" s="13" t="s">
        <v>225</v>
      </c>
      <c r="H37" s="11">
        <v>59</v>
      </c>
      <c r="I37" s="17" t="s">
        <v>662</v>
      </c>
      <c r="J37" s="19">
        <f>IF(H37&gt;0,(H37*VLOOKUP(Lookups!$K$11,Lookups!$M$10:$P$40,4,0)/VLOOKUP(I37,Lookups!$M$10:$P$40,4,0)),"")</f>
        <v>67.753995857743405</v>
      </c>
      <c r="K37" s="11"/>
      <c r="L37" s="17"/>
      <c r="M37" s="19" t="str">
        <f>IF(K37&gt;0,(K37*VLOOKUP(Lookups!$K$11,Lookups!$M$10:$P$40,4,0)/VLOOKUP(L37,Lookups!$M$10:$P$40,4,0)),"")</f>
        <v/>
      </c>
      <c r="N37" s="11"/>
      <c r="O37" s="17"/>
      <c r="P37" s="19" t="str">
        <f>IF(N37&gt;0,(N37*VLOOKUP(Lookups!$K$11,Lookups!$M$10:$P$40,4,0)/VLOOKUP(O37,Lookups!$M$10:$P$40,4,0)),"")</f>
        <v/>
      </c>
      <c r="Q37" s="78" t="s">
        <v>827</v>
      </c>
      <c r="R37" s="17" t="s">
        <v>619</v>
      </c>
      <c r="S37" s="4" t="s">
        <v>593</v>
      </c>
      <c r="T37" s="13"/>
      <c r="U37" s="120" t="s">
        <v>2226</v>
      </c>
    </row>
    <row r="38" spans="1:21" s="40" customFormat="1" ht="60" hidden="1" customHeight="1" outlineLevel="1" x14ac:dyDescent="0.2">
      <c r="A38" s="46" t="s">
        <v>688</v>
      </c>
      <c r="B38" s="46" t="s">
        <v>595</v>
      </c>
      <c r="C38" s="46" t="s">
        <v>1012</v>
      </c>
      <c r="D38" s="46" t="s">
        <v>1050</v>
      </c>
      <c r="E38" s="13" t="s">
        <v>1044</v>
      </c>
      <c r="F38" s="13" t="s">
        <v>629</v>
      </c>
      <c r="G38" s="13" t="s">
        <v>225</v>
      </c>
      <c r="H38" s="15">
        <v>23.89</v>
      </c>
      <c r="I38" s="17" t="s">
        <v>661</v>
      </c>
      <c r="J38" s="19">
        <f>IF(H38&gt;0,(H38*VLOOKUP(Lookups!$K$11,Lookups!$M$10:$P$40,4,0)/VLOOKUP(I38,Lookups!$M$10:$P$40,4,0)),"")</f>
        <v>28.123235582434422</v>
      </c>
      <c r="K38" s="15"/>
      <c r="L38" s="17"/>
      <c r="M38" s="19" t="str">
        <f>IF(K38&gt;0,(K38*VLOOKUP(Lookups!$K$11,Lookups!$M$10:$P$40,4,0)/VLOOKUP(L38,Lookups!$M$10:$P$40,4,0)),"")</f>
        <v/>
      </c>
      <c r="N38" s="15"/>
      <c r="O38" s="17"/>
      <c r="P38" s="19" t="str">
        <f>IF(N38&gt;0,(N38*VLOOKUP(Lookups!$K$11,Lookups!$M$10:$P$40,4,0)/VLOOKUP(O38,Lookups!$M$10:$P$40,4,0)),"")</f>
        <v/>
      </c>
      <c r="Q38" s="77" t="s">
        <v>1043</v>
      </c>
      <c r="R38" s="17" t="s">
        <v>619</v>
      </c>
      <c r="S38" s="13" t="s">
        <v>1054</v>
      </c>
      <c r="T38" s="13"/>
      <c r="U38" s="13"/>
    </row>
    <row r="39" spans="1:21" s="40" customFormat="1" ht="60" hidden="1" customHeight="1" outlineLevel="1" x14ac:dyDescent="0.2">
      <c r="A39" s="46" t="s">
        <v>688</v>
      </c>
      <c r="B39" s="46" t="s">
        <v>595</v>
      </c>
      <c r="C39" s="46" t="s">
        <v>1013</v>
      </c>
      <c r="D39" s="46" t="s">
        <v>1051</v>
      </c>
      <c r="E39" s="13" t="s">
        <v>1044</v>
      </c>
      <c r="F39" s="13" t="s">
        <v>629</v>
      </c>
      <c r="G39" s="13" t="s">
        <v>225</v>
      </c>
      <c r="H39" s="15">
        <v>44.15</v>
      </c>
      <c r="I39" s="17" t="s">
        <v>661</v>
      </c>
      <c r="J39" s="19">
        <f>IF(H39&gt;0,(H39*VLOOKUP(Lookups!$K$11,Lookups!$M$10:$P$40,4,0)/VLOOKUP(I39,Lookups!$M$10:$P$40,4,0)),"")</f>
        <v>51.973246168458765</v>
      </c>
      <c r="K39" s="15"/>
      <c r="L39" s="17"/>
      <c r="M39" s="19" t="str">
        <f>IF(K39&gt;0,(K39*VLOOKUP(Lookups!$K$11,Lookups!$M$10:$P$40,4,0)/VLOOKUP(L39,Lookups!$M$10:$P$40,4,0)),"")</f>
        <v/>
      </c>
      <c r="N39" s="15"/>
      <c r="O39" s="17"/>
      <c r="P39" s="19" t="str">
        <f>IF(N39&gt;0,(N39*VLOOKUP(Lookups!$K$11,Lookups!$M$10:$P$40,4,0)/VLOOKUP(O39,Lookups!$M$10:$P$40,4,0)),"")</f>
        <v/>
      </c>
      <c r="Q39" s="77" t="s">
        <v>1043</v>
      </c>
      <c r="R39" s="17" t="s">
        <v>619</v>
      </c>
      <c r="S39" s="13" t="s">
        <v>1052</v>
      </c>
      <c r="T39" s="13"/>
      <c r="U39" s="13"/>
    </row>
    <row r="40" spans="1:21" s="40" customFormat="1" ht="60" hidden="1" customHeight="1" outlineLevel="1" x14ac:dyDescent="0.2">
      <c r="A40" s="46" t="s">
        <v>688</v>
      </c>
      <c r="B40" s="46" t="s">
        <v>595</v>
      </c>
      <c r="C40" s="46" t="s">
        <v>1014</v>
      </c>
      <c r="D40" s="46" t="s">
        <v>1045</v>
      </c>
      <c r="E40" s="13" t="s">
        <v>630</v>
      </c>
      <c r="F40" s="13" t="s">
        <v>629</v>
      </c>
      <c r="G40" s="13" t="s">
        <v>225</v>
      </c>
      <c r="H40" s="15">
        <v>10.76</v>
      </c>
      <c r="I40" s="17" t="s">
        <v>661</v>
      </c>
      <c r="J40" s="19">
        <f>IF(H40&gt;0,(H40*VLOOKUP(Lookups!$K$11,Lookups!$M$10:$P$40,4,0)/VLOOKUP(I40,Lookups!$M$10:$P$40,4,0)),"")</f>
        <v>12.666639383298216</v>
      </c>
      <c r="K40" s="15"/>
      <c r="L40" s="17"/>
      <c r="M40" s="19" t="str">
        <f>IF(K40&gt;0,(K40*VLOOKUP(Lookups!$K$11,Lookups!$M$10:$P$40,4,0)/VLOOKUP(L40,Lookups!$M$10:$P$40,4,0)),"")</f>
        <v/>
      </c>
      <c r="N40" s="15"/>
      <c r="O40" s="17"/>
      <c r="P40" s="19" t="str">
        <f>IF(N40&gt;0,(N40*VLOOKUP(Lookups!$K$11,Lookups!$M$10:$P$40,4,0)/VLOOKUP(O40,Lookups!$M$10:$P$40,4,0)),"")</f>
        <v/>
      </c>
      <c r="Q40" s="77" t="s">
        <v>1043</v>
      </c>
      <c r="R40" s="17" t="s">
        <v>619</v>
      </c>
      <c r="S40" s="13" t="s">
        <v>1057</v>
      </c>
      <c r="T40" s="13"/>
      <c r="U40" s="13"/>
    </row>
    <row r="41" spans="1:21" s="40" customFormat="1" ht="60" hidden="1" customHeight="1" outlineLevel="1" x14ac:dyDescent="0.2">
      <c r="A41" s="46" t="s">
        <v>688</v>
      </c>
      <c r="B41" s="46" t="s">
        <v>595</v>
      </c>
      <c r="C41" s="46" t="s">
        <v>1015</v>
      </c>
      <c r="D41" s="46" t="s">
        <v>1047</v>
      </c>
      <c r="E41" s="13" t="s">
        <v>1044</v>
      </c>
      <c r="F41" s="13" t="s">
        <v>629</v>
      </c>
      <c r="G41" s="13" t="s">
        <v>225</v>
      </c>
      <c r="H41" s="15">
        <v>104.37</v>
      </c>
      <c r="I41" s="17" t="s">
        <v>661</v>
      </c>
      <c r="J41" s="19">
        <f>IF(H41&gt;0,(H41*VLOOKUP(Lookups!$K$11,Lookups!$M$10:$P$40,4,0)/VLOOKUP(I41,Lookups!$M$10:$P$40,4,0)),"")</f>
        <v>122.8640476240553</v>
      </c>
      <c r="K41" s="15"/>
      <c r="L41" s="17"/>
      <c r="M41" s="19" t="str">
        <f>IF(K41&gt;0,(K41*VLOOKUP(Lookups!$K$11,Lookups!$M$10:$P$40,4,0)/VLOOKUP(L41,Lookups!$M$10:$P$40,4,0)),"")</f>
        <v/>
      </c>
      <c r="N41" s="15"/>
      <c r="O41" s="17"/>
      <c r="P41" s="19" t="str">
        <f>IF(N41&gt;0,(N41*VLOOKUP(Lookups!$K$11,Lookups!$M$10:$P$40,4,0)/VLOOKUP(O41,Lookups!$M$10:$P$40,4,0)),"")</f>
        <v/>
      </c>
      <c r="Q41" s="77" t="s">
        <v>1043</v>
      </c>
      <c r="R41" s="17" t="s">
        <v>619</v>
      </c>
      <c r="S41" s="13" t="s">
        <v>1046</v>
      </c>
      <c r="T41" s="13"/>
      <c r="U41" s="13"/>
    </row>
    <row r="42" spans="1:21" s="40" customFormat="1" ht="60" hidden="1" customHeight="1" outlineLevel="1" x14ac:dyDescent="0.2">
      <c r="A42" s="46" t="s">
        <v>688</v>
      </c>
      <c r="B42" s="46" t="s">
        <v>595</v>
      </c>
      <c r="C42" s="46" t="s">
        <v>1016</v>
      </c>
      <c r="D42" s="46" t="s">
        <v>1048</v>
      </c>
      <c r="E42" s="13" t="s">
        <v>1044</v>
      </c>
      <c r="F42" s="13" t="s">
        <v>629</v>
      </c>
      <c r="G42" s="13" t="s">
        <v>225</v>
      </c>
      <c r="H42" s="15">
        <v>89.53</v>
      </c>
      <c r="I42" s="17" t="s">
        <v>661</v>
      </c>
      <c r="J42" s="19">
        <f>IF(H42&gt;0,(H42*VLOOKUP(Lookups!$K$11,Lookups!$M$10:$P$40,4,0)/VLOOKUP(I42,Lookups!$M$10:$P$40,4,0)),"")</f>
        <v>105.39444460842839</v>
      </c>
      <c r="K42" s="15"/>
      <c r="L42" s="17"/>
      <c r="M42" s="19" t="str">
        <f>IF(K42&gt;0,(K42*VLOOKUP(Lookups!$K$11,Lookups!$M$10:$P$40,4,0)/VLOOKUP(L42,Lookups!$M$10:$P$40,4,0)),"")</f>
        <v/>
      </c>
      <c r="N42" s="15"/>
      <c r="O42" s="17"/>
      <c r="P42" s="19" t="str">
        <f>IF(N42&gt;0,(N42*VLOOKUP(Lookups!$K$11,Lookups!$M$10:$P$40,4,0)/VLOOKUP(O42,Lookups!$M$10:$P$40,4,0)),"")</f>
        <v/>
      </c>
      <c r="Q42" s="77" t="s">
        <v>1043</v>
      </c>
      <c r="R42" s="17" t="s">
        <v>619</v>
      </c>
      <c r="S42" s="13" t="s">
        <v>1053</v>
      </c>
      <c r="T42" s="13"/>
      <c r="U42" s="13"/>
    </row>
    <row r="43" spans="1:21" s="40" customFormat="1" ht="60" hidden="1" customHeight="1" outlineLevel="1" x14ac:dyDescent="0.2">
      <c r="A43" s="46" t="s">
        <v>688</v>
      </c>
      <c r="B43" s="46" t="s">
        <v>595</v>
      </c>
      <c r="C43" s="46" t="s">
        <v>2425</v>
      </c>
      <c r="D43" s="46" t="s">
        <v>1049</v>
      </c>
      <c r="E43" s="13" t="s">
        <v>1369</v>
      </c>
      <c r="F43" s="13" t="s">
        <v>629</v>
      </c>
      <c r="G43" s="13" t="s">
        <v>225</v>
      </c>
      <c r="H43" s="15">
        <v>27445</v>
      </c>
      <c r="I43" s="17" t="s">
        <v>661</v>
      </c>
      <c r="J43" s="19">
        <f>IF(H43&gt;0,(H43*VLOOKUP(Lookups!$K$11,Lookups!$M$10:$P$40,4,0)/VLOOKUP(I43,Lookups!$M$10:$P$40,4,0)),"")</f>
        <v>32308.170806191411</v>
      </c>
      <c r="K43" s="15"/>
      <c r="L43" s="17"/>
      <c r="M43" s="19" t="str">
        <f>IF(K43&gt;0,(K43*VLOOKUP(Lookups!$K$11,Lookups!$M$10:$P$40,4,0)/VLOOKUP(L43,Lookups!$M$10:$P$40,4,0)),"")</f>
        <v/>
      </c>
      <c r="N43" s="15"/>
      <c r="O43" s="17"/>
      <c r="P43" s="19" t="str">
        <f>IF(N43&gt;0,(N43*VLOOKUP(Lookups!$K$11,Lookups!$M$10:$P$40,4,0)/VLOOKUP(O43,Lookups!$M$10:$P$40,4,0)),"")</f>
        <v/>
      </c>
      <c r="Q43" s="77" t="s">
        <v>1043</v>
      </c>
      <c r="R43" s="17" t="s">
        <v>619</v>
      </c>
      <c r="S43" s="47" t="s">
        <v>1055</v>
      </c>
      <c r="T43" s="13"/>
      <c r="U43" s="13"/>
    </row>
    <row r="44" spans="1:21" s="40" customFormat="1" ht="60" customHeight="1" collapsed="1" x14ac:dyDescent="0.2">
      <c r="A44" s="44" t="s">
        <v>688</v>
      </c>
      <c r="B44" s="44" t="s">
        <v>276</v>
      </c>
      <c r="C44" s="44" t="s">
        <v>1975</v>
      </c>
      <c r="D44" s="44" t="s">
        <v>538</v>
      </c>
      <c r="E44" s="13" t="s">
        <v>637</v>
      </c>
      <c r="F44" s="13" t="s">
        <v>629</v>
      </c>
      <c r="G44" s="13" t="s">
        <v>225</v>
      </c>
      <c r="H44" s="15">
        <v>216</v>
      </c>
      <c r="I44" s="17" t="s">
        <v>727</v>
      </c>
      <c r="J44" s="19">
        <f>IF(H44&gt;0,(H44*VLOOKUP(Lookups!$K$11,Lookups!$M$10:$P$40,4,0)/VLOOKUP(I44,Lookups!$M$10:$P$40,4,0)),"")</f>
        <v>222.74740799999995</v>
      </c>
      <c r="K44" s="15"/>
      <c r="L44" s="17"/>
      <c r="M44" s="19" t="str">
        <f>IF(K44&gt;0,(K44*VLOOKUP(Lookups!$K$11,Lookups!$M$10:$P$40,4,0)/VLOOKUP(L44,Lookups!$M$10:$P$40,4,0)),"")</f>
        <v/>
      </c>
      <c r="N44" s="15"/>
      <c r="O44" s="17"/>
      <c r="P44" s="19" t="str">
        <f>IF(N44&gt;0,(N44*VLOOKUP(Lookups!$K$11,Lookups!$M$10:$P$40,4,0)/VLOOKUP(O44,Lookups!$M$10:$P$40,4,0)),"")</f>
        <v/>
      </c>
      <c r="Q44" s="78" t="s">
        <v>199</v>
      </c>
      <c r="R44" s="17" t="s">
        <v>621</v>
      </c>
      <c r="S44" s="13" t="s">
        <v>211</v>
      </c>
      <c r="T44" s="13" t="s">
        <v>1912</v>
      </c>
      <c r="U44" s="13" t="s">
        <v>382</v>
      </c>
    </row>
    <row r="45" spans="1:21" s="40" customFormat="1" ht="60" hidden="1" customHeight="1" outlineLevel="2" x14ac:dyDescent="0.2">
      <c r="A45" s="37" t="s">
        <v>688</v>
      </c>
      <c r="B45" s="37" t="s">
        <v>276</v>
      </c>
      <c r="C45" s="37" t="s">
        <v>280</v>
      </c>
      <c r="D45" s="45" t="s">
        <v>540</v>
      </c>
      <c r="E45" s="13" t="s">
        <v>637</v>
      </c>
      <c r="F45" s="13" t="s">
        <v>629</v>
      </c>
      <c r="G45" s="13" t="s">
        <v>225</v>
      </c>
      <c r="H45" s="15">
        <v>180</v>
      </c>
      <c r="I45" s="17" t="s">
        <v>727</v>
      </c>
      <c r="J45" s="19">
        <f>IF(H45&gt;0,(H45*VLOOKUP(Lookups!$K$11,Lookups!$M$10:$P$40,4,0)/VLOOKUP(I45,Lookups!$M$10:$P$40,4,0)),"")</f>
        <v>185.62283999999997</v>
      </c>
      <c r="K45" s="15"/>
      <c r="L45" s="17"/>
      <c r="M45" s="19" t="str">
        <f>IF(K45&gt;0,(K45*VLOOKUP(Lookups!$K$11,Lookups!$M$10:$P$40,4,0)/VLOOKUP(L45,Lookups!$M$10:$P$40,4,0)),"")</f>
        <v/>
      </c>
      <c r="N45" s="15"/>
      <c r="O45" s="17"/>
      <c r="P45" s="19" t="str">
        <f>IF(N45&gt;0,(N45*VLOOKUP(Lookups!$K$11,Lookups!$M$10:$P$40,4,0)/VLOOKUP(O45,Lookups!$M$10:$P$40,4,0)),"")</f>
        <v/>
      </c>
      <c r="Q45" s="78" t="s">
        <v>200</v>
      </c>
      <c r="R45" s="17" t="s">
        <v>621</v>
      </c>
      <c r="S45" s="13" t="s">
        <v>204</v>
      </c>
      <c r="T45" s="13" t="s">
        <v>1912</v>
      </c>
      <c r="U45" s="13" t="s">
        <v>382</v>
      </c>
    </row>
    <row r="46" spans="1:21" s="40" customFormat="1" ht="60" hidden="1" customHeight="1" outlineLevel="2" x14ac:dyDescent="0.2">
      <c r="A46" s="37" t="s">
        <v>688</v>
      </c>
      <c r="B46" s="37" t="s">
        <v>276</v>
      </c>
      <c r="C46" s="37" t="s">
        <v>281</v>
      </c>
      <c r="D46" s="45" t="s">
        <v>539</v>
      </c>
      <c r="E46" s="13" t="s">
        <v>637</v>
      </c>
      <c r="F46" s="13" t="s">
        <v>629</v>
      </c>
      <c r="G46" s="13" t="s">
        <v>225</v>
      </c>
      <c r="H46" s="15">
        <v>231</v>
      </c>
      <c r="I46" s="17" t="s">
        <v>727</v>
      </c>
      <c r="J46" s="19">
        <f>IF(H46&gt;0,(H46*VLOOKUP(Lookups!$K$11,Lookups!$M$10:$P$40,4,0)/VLOOKUP(I46,Lookups!$M$10:$P$40,4,0)),"")</f>
        <v>238.21597799999995</v>
      </c>
      <c r="K46" s="15"/>
      <c r="L46" s="17"/>
      <c r="M46" s="19" t="str">
        <f>IF(K46&gt;0,(K46*VLOOKUP(Lookups!$K$11,Lookups!$M$10:$P$40,4,0)/VLOOKUP(L46,Lookups!$M$10:$P$40,4,0)),"")</f>
        <v/>
      </c>
      <c r="N46" s="15"/>
      <c r="O46" s="17"/>
      <c r="P46" s="19" t="str">
        <f>IF(N46&gt;0,(N46*VLOOKUP(Lookups!$K$11,Lookups!$M$10:$P$40,4,0)/VLOOKUP(O46,Lookups!$M$10:$P$40,4,0)),"")</f>
        <v/>
      </c>
      <c r="Q46" s="78" t="s">
        <v>201</v>
      </c>
      <c r="R46" s="17" t="s">
        <v>621</v>
      </c>
      <c r="S46" s="13" t="s">
        <v>203</v>
      </c>
      <c r="T46" s="13" t="s">
        <v>1912</v>
      </c>
      <c r="U46" s="13" t="s">
        <v>382</v>
      </c>
    </row>
    <row r="47" spans="1:21" s="40" customFormat="1" ht="60" hidden="1" customHeight="1" outlineLevel="1" x14ac:dyDescent="0.2">
      <c r="A47" s="46" t="s">
        <v>688</v>
      </c>
      <c r="B47" s="46" t="s">
        <v>276</v>
      </c>
      <c r="C47" s="46" t="s">
        <v>969</v>
      </c>
      <c r="D47" s="46" t="s">
        <v>541</v>
      </c>
      <c r="E47" s="13" t="s">
        <v>637</v>
      </c>
      <c r="F47" s="13" t="s">
        <v>629</v>
      </c>
      <c r="G47" s="13" t="s">
        <v>225</v>
      </c>
      <c r="H47" s="15">
        <v>7</v>
      </c>
      <c r="I47" s="17" t="s">
        <v>727</v>
      </c>
      <c r="J47" s="19">
        <f>IF(H47&gt;0,(H47*VLOOKUP(Lookups!$K$11,Lookups!$M$10:$P$40,4,0)/VLOOKUP(I47,Lookups!$M$10:$P$40,4,0)),"")</f>
        <v>7.2186659999999998</v>
      </c>
      <c r="K47" s="15"/>
      <c r="L47" s="17"/>
      <c r="M47" s="19" t="str">
        <f>IF(K47&gt;0,(K47*VLOOKUP(Lookups!$K$11,Lookups!$M$10:$P$40,4,0)/VLOOKUP(L47,Lookups!$M$10:$P$40,4,0)),"")</f>
        <v/>
      </c>
      <c r="N47" s="15"/>
      <c r="O47" s="17"/>
      <c r="P47" s="19" t="str">
        <f>IF(N47&gt;0,(N47*VLOOKUP(Lookups!$K$11,Lookups!$M$10:$P$40,4,0)/VLOOKUP(O47,Lookups!$M$10:$P$40,4,0)),"")</f>
        <v/>
      </c>
      <c r="Q47" s="78" t="s">
        <v>202</v>
      </c>
      <c r="R47" s="17" t="s">
        <v>621</v>
      </c>
      <c r="S47" s="13" t="s">
        <v>205</v>
      </c>
      <c r="T47" s="13" t="s">
        <v>1912</v>
      </c>
      <c r="U47" s="13" t="s">
        <v>382</v>
      </c>
    </row>
    <row r="48" spans="1:21" s="40" customFormat="1" ht="60" hidden="1" customHeight="1" outlineLevel="1" x14ac:dyDescent="0.2">
      <c r="A48" s="46" t="s">
        <v>688</v>
      </c>
      <c r="B48" s="46" t="s">
        <v>276</v>
      </c>
      <c r="C48" s="46" t="s">
        <v>1017</v>
      </c>
      <c r="D48" s="46" t="s">
        <v>542</v>
      </c>
      <c r="E48" s="13" t="s">
        <v>637</v>
      </c>
      <c r="F48" s="13" t="s">
        <v>629</v>
      </c>
      <c r="G48" s="13" t="s">
        <v>225</v>
      </c>
      <c r="H48" s="15">
        <v>44</v>
      </c>
      <c r="I48" s="17" t="s">
        <v>727</v>
      </c>
      <c r="J48" s="19">
        <f>IF(H48&gt;0,(H48*VLOOKUP(Lookups!$K$11,Lookups!$M$10:$P$40,4,0)/VLOOKUP(I48,Lookups!$M$10:$P$40,4,0)),"")</f>
        <v>45.374471999999997</v>
      </c>
      <c r="K48" s="15"/>
      <c r="L48" s="17"/>
      <c r="M48" s="19" t="str">
        <f>IF(K48&gt;0,(K48*VLOOKUP(Lookups!$K$11,Lookups!$M$10:$P$40,4,0)/VLOOKUP(L48,Lookups!$M$10:$P$40,4,0)),"")</f>
        <v/>
      </c>
      <c r="N48" s="15"/>
      <c r="O48" s="17"/>
      <c r="P48" s="19" t="str">
        <f>IF(N48&gt;0,(N48*VLOOKUP(Lookups!$K$11,Lookups!$M$10:$P$40,4,0)/VLOOKUP(O48,Lookups!$M$10:$P$40,4,0)),"")</f>
        <v/>
      </c>
      <c r="Q48" s="78" t="s">
        <v>455</v>
      </c>
      <c r="R48" s="17" t="s">
        <v>621</v>
      </c>
      <c r="S48" s="13" t="s">
        <v>454</v>
      </c>
      <c r="T48" s="13" t="s">
        <v>1912</v>
      </c>
      <c r="U48" s="13" t="s">
        <v>382</v>
      </c>
    </row>
    <row r="49" spans="1:21" s="40" customFormat="1" ht="60" customHeight="1" collapsed="1" x14ac:dyDescent="0.2">
      <c r="A49" s="42" t="s">
        <v>688</v>
      </c>
      <c r="B49" s="42" t="s">
        <v>700</v>
      </c>
      <c r="C49" s="42" t="s">
        <v>1976</v>
      </c>
      <c r="D49" s="42" t="s">
        <v>754</v>
      </c>
      <c r="E49" s="13" t="s">
        <v>637</v>
      </c>
      <c r="F49" s="13" t="s">
        <v>629</v>
      </c>
      <c r="G49" s="13" t="s">
        <v>225</v>
      </c>
      <c r="H49" s="15">
        <v>109</v>
      </c>
      <c r="I49" s="17" t="s">
        <v>665</v>
      </c>
      <c r="J49" s="19">
        <f>IF(H49&gt;0,(H49*VLOOKUP(Lookups!$K$11,Lookups!$M$10:$P$40,4,0)/VLOOKUP(I49,Lookups!$M$10:$P$40,4,0)),"")</f>
        <v>116.64403048320719</v>
      </c>
      <c r="K49" s="15"/>
      <c r="L49" s="17"/>
      <c r="M49" s="19" t="str">
        <f>IF(K49&gt;0,(K49*VLOOKUP(Lookups!$K$11,Lookups!$M$10:$P$40,4,0)/VLOOKUP(L49,Lookups!$M$10:$P$40,4,0)),"")</f>
        <v/>
      </c>
      <c r="N49" s="15"/>
      <c r="O49" s="17"/>
      <c r="P49" s="19" t="str">
        <f>IF(N49&gt;0,(N49*VLOOKUP(Lookups!$K$11,Lookups!$M$10:$P$40,4,0)/VLOOKUP(O49,Lookups!$M$10:$P$40,4,0)),"")</f>
        <v/>
      </c>
      <c r="Q49" s="78" t="s">
        <v>757</v>
      </c>
      <c r="R49" s="17" t="s">
        <v>621</v>
      </c>
      <c r="S49" s="13" t="s">
        <v>258</v>
      </c>
      <c r="T49" s="13"/>
      <c r="U49" s="120" t="s">
        <v>272</v>
      </c>
    </row>
    <row r="50" spans="1:21" s="40" customFormat="1" ht="60" hidden="1" customHeight="1" outlineLevel="1" x14ac:dyDescent="0.2">
      <c r="A50" s="46" t="s">
        <v>688</v>
      </c>
      <c r="B50" s="46" t="s">
        <v>700</v>
      </c>
      <c r="C50" s="46" t="s">
        <v>970</v>
      </c>
      <c r="D50" s="46" t="s">
        <v>755</v>
      </c>
      <c r="E50" s="13" t="s">
        <v>637</v>
      </c>
      <c r="F50" s="13" t="s">
        <v>629</v>
      </c>
      <c r="G50" s="13" t="s">
        <v>225</v>
      </c>
      <c r="H50" s="15">
        <v>147</v>
      </c>
      <c r="I50" s="17" t="s">
        <v>665</v>
      </c>
      <c r="J50" s="19">
        <f>IF(H50&gt;0,(H50*VLOOKUP(Lookups!$K$11,Lookups!$M$10:$P$40,4,0)/VLOOKUP(I50,Lookups!$M$10:$P$40,4,0)),"")</f>
        <v>157.30892184432528</v>
      </c>
      <c r="K50" s="15"/>
      <c r="L50" s="17"/>
      <c r="M50" s="19" t="str">
        <f>IF(K50&gt;0,(K50*VLOOKUP(Lookups!$K$11,Lookups!$M$10:$P$40,4,0)/VLOOKUP(L50,Lookups!$M$10:$P$40,4,0)),"")</f>
        <v/>
      </c>
      <c r="N50" s="15"/>
      <c r="O50" s="17"/>
      <c r="P50" s="19" t="str">
        <f>IF(N50&gt;0,(N50*VLOOKUP(Lookups!$K$11,Lookups!$M$10:$P$40,4,0)/VLOOKUP(O50,Lookups!$M$10:$P$40,4,0)),"")</f>
        <v/>
      </c>
      <c r="Q50" s="78" t="s">
        <v>757</v>
      </c>
      <c r="R50" s="17" t="s">
        <v>621</v>
      </c>
      <c r="S50" s="13" t="s">
        <v>259</v>
      </c>
      <c r="T50" s="13"/>
      <c r="U50" s="120" t="s">
        <v>272</v>
      </c>
    </row>
    <row r="51" spans="1:21" s="40" customFormat="1" ht="60" hidden="1" customHeight="1" outlineLevel="1" x14ac:dyDescent="0.2">
      <c r="A51" s="46" t="s">
        <v>688</v>
      </c>
      <c r="B51" s="46" t="s">
        <v>700</v>
      </c>
      <c r="C51" s="46" t="s">
        <v>971</v>
      </c>
      <c r="D51" s="46" t="s">
        <v>756</v>
      </c>
      <c r="E51" s="13" t="s">
        <v>637</v>
      </c>
      <c r="F51" s="13" t="s">
        <v>629</v>
      </c>
      <c r="G51" s="13" t="s">
        <v>225</v>
      </c>
      <c r="H51" s="15">
        <v>95</v>
      </c>
      <c r="I51" s="17" t="s">
        <v>665</v>
      </c>
      <c r="J51" s="19">
        <f>IF(H51&gt;0,(H51*VLOOKUP(Lookups!$K$11,Lookups!$M$10:$P$40,4,0)/VLOOKUP(I51,Lookups!$M$10:$P$40,4,0)),"")</f>
        <v>101.66222840279525</v>
      </c>
      <c r="K51" s="15"/>
      <c r="L51" s="17"/>
      <c r="M51" s="19" t="str">
        <f>IF(K51&gt;0,(K51*VLOOKUP(Lookups!$K$11,Lookups!$M$10:$P$40,4,0)/VLOOKUP(L51,Lookups!$M$10:$P$40,4,0)),"")</f>
        <v/>
      </c>
      <c r="N51" s="15"/>
      <c r="O51" s="17"/>
      <c r="P51" s="19" t="str">
        <f>IF(N51&gt;0,(N51*VLOOKUP(Lookups!$K$11,Lookups!$M$10:$P$40,4,0)/VLOOKUP(O51,Lookups!$M$10:$P$40,4,0)),"")</f>
        <v/>
      </c>
      <c r="Q51" s="78" t="s">
        <v>757</v>
      </c>
      <c r="R51" s="17" t="s">
        <v>621</v>
      </c>
      <c r="S51" s="13" t="s">
        <v>260</v>
      </c>
      <c r="T51" s="13"/>
      <c r="U51" s="120" t="s">
        <v>272</v>
      </c>
    </row>
    <row r="52" spans="1:21" s="40" customFormat="1" ht="60" customHeight="1" collapsed="1" x14ac:dyDescent="0.2">
      <c r="A52" s="42" t="s">
        <v>688</v>
      </c>
      <c r="B52" s="42" t="s">
        <v>700</v>
      </c>
      <c r="C52" s="42" t="s">
        <v>1977</v>
      </c>
      <c r="D52" s="42" t="s">
        <v>597</v>
      </c>
      <c r="E52" s="13" t="s">
        <v>637</v>
      </c>
      <c r="F52" s="13" t="s">
        <v>629</v>
      </c>
      <c r="G52" s="13" t="s">
        <v>225</v>
      </c>
      <c r="H52" s="15">
        <v>64</v>
      </c>
      <c r="I52" s="17" t="s">
        <v>665</v>
      </c>
      <c r="J52" s="19">
        <f>IF(H52&gt;0,(H52*VLOOKUP(Lookups!$K$11,Lookups!$M$10:$P$40,4,0)/VLOOKUP(I52,Lookups!$M$10:$P$40,4,0)),"")</f>
        <v>68.488238081883111</v>
      </c>
      <c r="K52" s="15"/>
      <c r="L52" s="17"/>
      <c r="M52" s="19" t="str">
        <f>IF(K52&gt;0,(K52*VLOOKUP(Lookups!$K$11,Lookups!$M$10:$P$40,4,0)/VLOOKUP(L52,Lookups!$M$10:$P$40,4,0)),"")</f>
        <v/>
      </c>
      <c r="N52" s="15"/>
      <c r="O52" s="17"/>
      <c r="P52" s="19" t="str">
        <f>IF(N52&gt;0,(N52*VLOOKUP(Lookups!$K$11,Lookups!$M$10:$P$40,4,0)/VLOOKUP(O52,Lookups!$M$10:$P$40,4,0)),"")</f>
        <v/>
      </c>
      <c r="Q52" s="78" t="s">
        <v>596</v>
      </c>
      <c r="R52" s="17" t="s">
        <v>621</v>
      </c>
      <c r="S52" s="13" t="s">
        <v>261</v>
      </c>
      <c r="T52" s="13"/>
      <c r="U52" s="120" t="s">
        <v>272</v>
      </c>
    </row>
    <row r="53" spans="1:21" s="40" customFormat="1" ht="60" hidden="1" customHeight="1" outlineLevel="1" x14ac:dyDescent="0.2">
      <c r="A53" s="46" t="s">
        <v>688</v>
      </c>
      <c r="B53" s="46" t="s">
        <v>700</v>
      </c>
      <c r="C53" s="46" t="s">
        <v>972</v>
      </c>
      <c r="D53" s="46" t="s">
        <v>598</v>
      </c>
      <c r="E53" s="13" t="s">
        <v>637</v>
      </c>
      <c r="F53" s="13" t="s">
        <v>629</v>
      </c>
      <c r="G53" s="13" t="s">
        <v>225</v>
      </c>
      <c r="H53" s="15">
        <v>85</v>
      </c>
      <c r="I53" s="17" t="s">
        <v>665</v>
      </c>
      <c r="J53" s="19">
        <f>IF(H53&gt;0,(H53*VLOOKUP(Lookups!$K$11,Lookups!$M$10:$P$40,4,0)/VLOOKUP(I53,Lookups!$M$10:$P$40,4,0)),"")</f>
        <v>90.960941202501019</v>
      </c>
      <c r="K53" s="15"/>
      <c r="L53" s="17"/>
      <c r="M53" s="19" t="str">
        <f>IF(K53&gt;0,(K53*VLOOKUP(Lookups!$K$11,Lookups!$M$10:$P$40,4,0)/VLOOKUP(L53,Lookups!$M$10:$P$40,4,0)),"")</f>
        <v/>
      </c>
      <c r="N53" s="15"/>
      <c r="O53" s="17"/>
      <c r="P53" s="19" t="str">
        <f>IF(N53&gt;0,(N53*VLOOKUP(Lookups!$K$11,Lookups!$M$10:$P$40,4,0)/VLOOKUP(O53,Lookups!$M$10:$P$40,4,0)),"")</f>
        <v/>
      </c>
      <c r="Q53" s="78" t="s">
        <v>753</v>
      </c>
      <c r="R53" s="17" t="s">
        <v>621</v>
      </c>
      <c r="S53" s="13" t="s">
        <v>262</v>
      </c>
      <c r="T53" s="13"/>
      <c r="U53" s="120" t="s">
        <v>272</v>
      </c>
    </row>
    <row r="54" spans="1:21" s="40" customFormat="1" ht="60" hidden="1" customHeight="1" outlineLevel="1" x14ac:dyDescent="0.2">
      <c r="A54" s="46" t="s">
        <v>688</v>
      </c>
      <c r="B54" s="46" t="s">
        <v>700</v>
      </c>
      <c r="C54" s="46" t="s">
        <v>973</v>
      </c>
      <c r="D54" s="46" t="s">
        <v>599</v>
      </c>
      <c r="E54" s="13" t="s">
        <v>637</v>
      </c>
      <c r="F54" s="13" t="s">
        <v>629</v>
      </c>
      <c r="G54" s="13" t="s">
        <v>225</v>
      </c>
      <c r="H54" s="15">
        <v>61</v>
      </c>
      <c r="I54" s="17" t="s">
        <v>665</v>
      </c>
      <c r="J54" s="19">
        <f>IF(H54&gt;0,(H54*VLOOKUP(Lookups!$K$11,Lookups!$M$10:$P$40,4,0)/VLOOKUP(I54,Lookups!$M$10:$P$40,4,0)),"")</f>
        <v>65.277851921794849</v>
      </c>
      <c r="K54" s="15"/>
      <c r="L54" s="17"/>
      <c r="M54" s="19" t="str">
        <f>IF(K54&gt;0,(K54*VLOOKUP(Lookups!$K$11,Lookups!$M$10:$P$40,4,0)/VLOOKUP(L54,Lookups!$M$10:$P$40,4,0)),"")</f>
        <v/>
      </c>
      <c r="N54" s="15"/>
      <c r="O54" s="17"/>
      <c r="P54" s="19" t="str">
        <f>IF(N54&gt;0,(N54*VLOOKUP(Lookups!$K$11,Lookups!$M$10:$P$40,4,0)/VLOOKUP(O54,Lookups!$M$10:$P$40,4,0)),"")</f>
        <v/>
      </c>
      <c r="Q54" s="78" t="s">
        <v>753</v>
      </c>
      <c r="R54" s="17" t="s">
        <v>621</v>
      </c>
      <c r="S54" s="13" t="s">
        <v>403</v>
      </c>
      <c r="T54" s="13"/>
      <c r="U54" s="120" t="s">
        <v>272</v>
      </c>
    </row>
    <row r="55" spans="1:21" s="40" customFormat="1" ht="60" customHeight="1" collapsed="1" x14ac:dyDescent="0.2">
      <c r="A55" s="42" t="s">
        <v>688</v>
      </c>
      <c r="B55" s="42" t="s">
        <v>700</v>
      </c>
      <c r="C55" s="42" t="s">
        <v>1978</v>
      </c>
      <c r="D55" s="42" t="s">
        <v>1040</v>
      </c>
      <c r="E55" s="13" t="s">
        <v>637</v>
      </c>
      <c r="F55" s="13" t="s">
        <v>629</v>
      </c>
      <c r="G55" s="13" t="s">
        <v>225</v>
      </c>
      <c r="H55" s="15">
        <v>125</v>
      </c>
      <c r="I55" s="17" t="s">
        <v>665</v>
      </c>
      <c r="J55" s="19">
        <f>IF(H55&gt;0,(H55*VLOOKUP(Lookups!$K$11,Lookups!$M$10:$P$40,4,0)/VLOOKUP(I55,Lookups!$M$10:$P$40,4,0)),"")</f>
        <v>133.76609000367796</v>
      </c>
      <c r="K55" s="15"/>
      <c r="L55" s="17"/>
      <c r="M55" s="19" t="str">
        <f>IF(K55&gt;0,(K55*VLOOKUP(Lookups!$K$11,Lookups!$M$10:$P$40,4,0)/VLOOKUP(L55,Lookups!$M$10:$P$40,4,0)),"")</f>
        <v/>
      </c>
      <c r="N55" s="15"/>
      <c r="O55" s="17"/>
      <c r="P55" s="19" t="str">
        <f>IF(N55&gt;0,(N55*VLOOKUP(Lookups!$K$11,Lookups!$M$10:$P$40,4,0)/VLOOKUP(O55,Lookups!$M$10:$P$40,4,0)),"")</f>
        <v/>
      </c>
      <c r="Q55" s="78" t="s">
        <v>758</v>
      </c>
      <c r="R55" s="17" t="s">
        <v>621</v>
      </c>
      <c r="S55" s="13" t="s">
        <v>404</v>
      </c>
      <c r="T55" s="13"/>
      <c r="U55" s="120" t="s">
        <v>272</v>
      </c>
    </row>
    <row r="56" spans="1:21" s="40" customFormat="1" ht="60" hidden="1" customHeight="1" outlineLevel="1" x14ac:dyDescent="0.2">
      <c r="A56" s="46" t="s">
        <v>688</v>
      </c>
      <c r="B56" s="46" t="s">
        <v>700</v>
      </c>
      <c r="C56" s="46" t="s">
        <v>974</v>
      </c>
      <c r="D56" s="46" t="s">
        <v>1041</v>
      </c>
      <c r="E56" s="13" t="s">
        <v>637</v>
      </c>
      <c r="F56" s="13" t="s">
        <v>629</v>
      </c>
      <c r="G56" s="13" t="s">
        <v>225</v>
      </c>
      <c r="H56" s="15">
        <v>156</v>
      </c>
      <c r="I56" s="17" t="s">
        <v>665</v>
      </c>
      <c r="J56" s="19">
        <f>IF(H56&gt;0,(H56*VLOOKUP(Lookups!$K$11,Lookups!$M$10:$P$40,4,0)/VLOOKUP(I56,Lookups!$M$10:$P$40,4,0)),"")</f>
        <v>166.9400803245901</v>
      </c>
      <c r="K56" s="15"/>
      <c r="L56" s="17"/>
      <c r="M56" s="19" t="str">
        <f>IF(K56&gt;0,(K56*VLOOKUP(Lookups!$K$11,Lookups!$M$10:$P$40,4,0)/VLOOKUP(L56,Lookups!$M$10:$P$40,4,0)),"")</f>
        <v/>
      </c>
      <c r="N56" s="15"/>
      <c r="O56" s="17"/>
      <c r="P56" s="19" t="str">
        <f>IF(N56&gt;0,(N56*VLOOKUP(Lookups!$K$11,Lookups!$M$10:$P$40,4,0)/VLOOKUP(O56,Lookups!$M$10:$P$40,4,0)),"")</f>
        <v/>
      </c>
      <c r="Q56" s="78" t="s">
        <v>758</v>
      </c>
      <c r="R56" s="17" t="s">
        <v>621</v>
      </c>
      <c r="S56" s="13" t="s">
        <v>405</v>
      </c>
      <c r="T56" s="13"/>
      <c r="U56" s="120" t="s">
        <v>272</v>
      </c>
    </row>
    <row r="57" spans="1:21" s="40" customFormat="1" ht="60" hidden="1" customHeight="1" outlineLevel="1" x14ac:dyDescent="0.2">
      <c r="A57" s="46" t="s">
        <v>688</v>
      </c>
      <c r="B57" s="46" t="s">
        <v>700</v>
      </c>
      <c r="C57" s="46" t="s">
        <v>1018</v>
      </c>
      <c r="D57" s="46" t="s">
        <v>1042</v>
      </c>
      <c r="E57" s="13" t="s">
        <v>637</v>
      </c>
      <c r="F57" s="13" t="s">
        <v>629</v>
      </c>
      <c r="G57" s="13" t="s">
        <v>225</v>
      </c>
      <c r="H57" s="15">
        <v>111</v>
      </c>
      <c r="I57" s="17" t="s">
        <v>665</v>
      </c>
      <c r="J57" s="19">
        <f>IF(H57&gt;0,(H57*VLOOKUP(Lookups!$K$11,Lookups!$M$10:$P$40,4,0)/VLOOKUP(I57,Lookups!$M$10:$P$40,4,0)),"")</f>
        <v>118.78428792326602</v>
      </c>
      <c r="K57" s="15"/>
      <c r="L57" s="17"/>
      <c r="M57" s="19" t="str">
        <f>IF(K57&gt;0,(K57*VLOOKUP(Lookups!$K$11,Lookups!$M$10:$P$40,4,0)/VLOOKUP(L57,Lookups!$M$10:$P$40,4,0)),"")</f>
        <v/>
      </c>
      <c r="N57" s="15"/>
      <c r="O57" s="17"/>
      <c r="P57" s="19" t="str">
        <f>IF(N57&gt;0,(N57*VLOOKUP(Lookups!$K$11,Lookups!$M$10:$P$40,4,0)/VLOOKUP(O57,Lookups!$M$10:$P$40,4,0)),"")</f>
        <v/>
      </c>
      <c r="Q57" s="78" t="s">
        <v>758</v>
      </c>
      <c r="R57" s="17" t="s">
        <v>621</v>
      </c>
      <c r="S57" s="13" t="s">
        <v>406</v>
      </c>
      <c r="T57" s="13"/>
      <c r="U57" s="120" t="s">
        <v>272</v>
      </c>
    </row>
    <row r="58" spans="1:21" s="40" customFormat="1" ht="60" customHeight="1" collapsed="1" x14ac:dyDescent="0.2">
      <c r="A58" s="43" t="s">
        <v>688</v>
      </c>
      <c r="B58" s="43" t="s">
        <v>700</v>
      </c>
      <c r="C58" s="43" t="s">
        <v>1979</v>
      </c>
      <c r="D58" s="42" t="s">
        <v>1070</v>
      </c>
      <c r="E58" s="12" t="s">
        <v>626</v>
      </c>
      <c r="F58" s="4" t="s">
        <v>629</v>
      </c>
      <c r="G58" s="13" t="s">
        <v>225</v>
      </c>
      <c r="H58" s="11">
        <v>1807</v>
      </c>
      <c r="I58" s="17" t="s">
        <v>727</v>
      </c>
      <c r="J58" s="19">
        <f>IF(H58&gt;0,(H58*VLOOKUP(Lookups!$K$11,Lookups!$M$10:$P$40,4,0)/VLOOKUP(I58,Lookups!$M$10:$P$40,4,0)),"")</f>
        <v>1863.4470659999997</v>
      </c>
      <c r="K58" s="11"/>
      <c r="L58" s="17"/>
      <c r="M58" s="19" t="str">
        <f>IF(K58&gt;0,(K58*VLOOKUP(Lookups!$K$11,Lookups!$M$10:$P$40,4,0)/VLOOKUP(L58,Lookups!$M$10:$P$40,4,0)),"")</f>
        <v/>
      </c>
      <c r="N58" s="11"/>
      <c r="O58" s="17"/>
      <c r="P58" s="19" t="str">
        <f>IF(N58&gt;0,(N58*VLOOKUP(Lookups!$K$11,Lookups!$M$10:$P$40,4,0)/VLOOKUP(O58,Lookups!$M$10:$P$40,4,0)),"")</f>
        <v/>
      </c>
      <c r="Q58" s="78" t="s">
        <v>407</v>
      </c>
      <c r="R58" s="17" t="s">
        <v>621</v>
      </c>
      <c r="S58" s="4" t="s">
        <v>408</v>
      </c>
      <c r="T58" s="13" t="s">
        <v>1912</v>
      </c>
      <c r="U58" s="13" t="s">
        <v>277</v>
      </c>
    </row>
    <row r="59" spans="1:21" s="40" customFormat="1" ht="60" hidden="1" customHeight="1" outlineLevel="2" x14ac:dyDescent="0.2">
      <c r="A59" s="37" t="s">
        <v>688</v>
      </c>
      <c r="B59" s="37" t="s">
        <v>700</v>
      </c>
      <c r="C59" s="37" t="s">
        <v>362</v>
      </c>
      <c r="D59" s="45" t="s">
        <v>1069</v>
      </c>
      <c r="E59" s="12" t="s">
        <v>626</v>
      </c>
      <c r="F59" s="4" t="s">
        <v>629</v>
      </c>
      <c r="G59" s="13" t="s">
        <v>225</v>
      </c>
      <c r="H59" s="11">
        <v>3375</v>
      </c>
      <c r="I59" s="17" t="s">
        <v>727</v>
      </c>
      <c r="J59" s="19">
        <f>IF(H59&gt;0,(H59*VLOOKUP(Lookups!$K$11,Lookups!$M$10:$P$40,4,0)/VLOOKUP(I59,Lookups!$M$10:$P$40,4,0)),"")</f>
        <v>3480.4282499999995</v>
      </c>
      <c r="K59" s="11"/>
      <c r="L59" s="17"/>
      <c r="M59" s="19" t="str">
        <f>IF(K59&gt;0,(K59*VLOOKUP(Lookups!$K$11,Lookups!$M$10:$P$40,4,0)/VLOOKUP(L59,Lookups!$M$10:$P$40,4,0)),"")</f>
        <v/>
      </c>
      <c r="N59" s="11"/>
      <c r="O59" s="17"/>
      <c r="P59" s="19" t="str">
        <f>IF(N59&gt;0,(N59*VLOOKUP(Lookups!$K$11,Lookups!$M$10:$P$40,4,0)/VLOOKUP(O59,Lookups!$M$10:$P$40,4,0)),"")</f>
        <v/>
      </c>
      <c r="Q59" s="78" t="s">
        <v>409</v>
      </c>
      <c r="R59" s="17" t="s">
        <v>621</v>
      </c>
      <c r="S59" s="4" t="s">
        <v>49</v>
      </c>
      <c r="T59" s="13" t="s">
        <v>1912</v>
      </c>
      <c r="U59" s="13" t="s">
        <v>277</v>
      </c>
    </row>
    <row r="60" spans="1:21" s="40" customFormat="1" ht="60" hidden="1" customHeight="1" outlineLevel="2" x14ac:dyDescent="0.2">
      <c r="A60" s="37" t="s">
        <v>688</v>
      </c>
      <c r="B60" s="37" t="s">
        <v>700</v>
      </c>
      <c r="C60" s="37" t="s">
        <v>363</v>
      </c>
      <c r="D60" s="45" t="s">
        <v>1071</v>
      </c>
      <c r="E60" s="12" t="s">
        <v>626</v>
      </c>
      <c r="F60" s="4" t="s">
        <v>629</v>
      </c>
      <c r="G60" s="13" t="s">
        <v>225</v>
      </c>
      <c r="H60" s="11">
        <v>1542</v>
      </c>
      <c r="I60" s="17" t="s">
        <v>727</v>
      </c>
      <c r="J60" s="19">
        <f>IF(H60&gt;0,(H60*VLOOKUP(Lookups!$K$11,Lookups!$M$10:$P$40,4,0)/VLOOKUP(I60,Lookups!$M$10:$P$40,4,0)),"")</f>
        <v>1590.1689959999999</v>
      </c>
      <c r="K60" s="11"/>
      <c r="L60" s="17"/>
      <c r="M60" s="19" t="str">
        <f>IF(K60&gt;0,(K60*VLOOKUP(Lookups!$K$11,Lookups!$M$10:$P$40,4,0)/VLOOKUP(L60,Lookups!$M$10:$P$40,4,0)),"")</f>
        <v/>
      </c>
      <c r="N60" s="11"/>
      <c r="O60" s="17"/>
      <c r="P60" s="19" t="str">
        <f>IF(N60&gt;0,(N60*VLOOKUP(Lookups!$K$11,Lookups!$M$10:$P$40,4,0)/VLOOKUP(O60,Lookups!$M$10:$P$40,4,0)),"")</f>
        <v/>
      </c>
      <c r="Q60" s="78" t="s">
        <v>410</v>
      </c>
      <c r="R60" s="17" t="s">
        <v>621</v>
      </c>
      <c r="S60" s="4" t="s">
        <v>50</v>
      </c>
      <c r="T60" s="13" t="s">
        <v>1912</v>
      </c>
      <c r="U60" s="13" t="s">
        <v>277</v>
      </c>
    </row>
    <row r="61" spans="1:21" s="40" customFormat="1" ht="60" hidden="1" customHeight="1" outlineLevel="1" x14ac:dyDescent="0.2">
      <c r="A61" s="46" t="s">
        <v>688</v>
      </c>
      <c r="B61" s="46" t="s">
        <v>700</v>
      </c>
      <c r="C61" s="46" t="s">
        <v>271</v>
      </c>
      <c r="D61" s="46" t="s">
        <v>862</v>
      </c>
      <c r="E61" s="13" t="s">
        <v>637</v>
      </c>
      <c r="F61" s="13" t="s">
        <v>629</v>
      </c>
      <c r="G61" s="13" t="s">
        <v>225</v>
      </c>
      <c r="H61" s="15">
        <v>4614</v>
      </c>
      <c r="I61" s="17" t="s">
        <v>664</v>
      </c>
      <c r="J61" s="19">
        <f>IF(H61&gt;0,(H61*VLOOKUP(Lookups!$K$11,Lookups!$M$10:$P$40,4,0)/VLOOKUP(I61,Lookups!$M$10:$P$40,4,0)),"")</f>
        <v>5025.9564872802239</v>
      </c>
      <c r="K61" s="15"/>
      <c r="L61" s="17"/>
      <c r="M61" s="19" t="str">
        <f>IF(K61&gt;0,(K61*VLOOKUP(Lookups!$K$11,Lookups!$M$10:$P$40,4,0)/VLOOKUP(L61,Lookups!$M$10:$P$40,4,0)),"")</f>
        <v/>
      </c>
      <c r="N61" s="15"/>
      <c r="O61" s="17"/>
      <c r="P61" s="19" t="str">
        <f>IF(N61&gt;0,(N61*VLOOKUP(Lookups!$K$11,Lookups!$M$10:$P$40,4,0)/VLOOKUP(O61,Lookups!$M$10:$P$40,4,0)),"")</f>
        <v/>
      </c>
      <c r="Q61" s="78" t="s">
        <v>865</v>
      </c>
      <c r="R61" s="17" t="s">
        <v>621</v>
      </c>
      <c r="S61" s="13" t="s">
        <v>1154</v>
      </c>
      <c r="T61" s="13"/>
      <c r="U61" s="120" t="s">
        <v>2264</v>
      </c>
    </row>
    <row r="62" spans="1:21" s="40" customFormat="1" ht="60" hidden="1" customHeight="1" outlineLevel="2" x14ac:dyDescent="0.2">
      <c r="A62" s="13" t="s">
        <v>688</v>
      </c>
      <c r="B62" s="13" t="s">
        <v>700</v>
      </c>
      <c r="C62" s="13" t="s">
        <v>364</v>
      </c>
      <c r="D62" s="48" t="s">
        <v>863</v>
      </c>
      <c r="E62" s="13" t="s">
        <v>637</v>
      </c>
      <c r="F62" s="13" t="s">
        <v>629</v>
      </c>
      <c r="G62" s="13" t="s">
        <v>225</v>
      </c>
      <c r="H62" s="15">
        <v>3475</v>
      </c>
      <c r="I62" s="17" t="s">
        <v>664</v>
      </c>
      <c r="J62" s="19">
        <f>IF(H62&gt;0,(H62*VLOOKUP(Lookups!$K$11,Lookups!$M$10:$P$40,4,0)/VLOOKUP(I62,Lookups!$M$10:$P$40,4,0)),"")</f>
        <v>3785.2619838098781</v>
      </c>
      <c r="K62" s="15"/>
      <c r="L62" s="17"/>
      <c r="M62" s="19" t="str">
        <f>IF(K62&gt;0,(K62*VLOOKUP(Lookups!$K$11,Lookups!$M$10:$P$40,4,0)/VLOOKUP(L62,Lookups!$M$10:$P$40,4,0)),"")</f>
        <v/>
      </c>
      <c r="N62" s="15"/>
      <c r="O62" s="17"/>
      <c r="P62" s="19" t="str">
        <f>IF(N62&gt;0,(N62*VLOOKUP(Lookups!$K$11,Lookups!$M$10:$P$40,4,0)/VLOOKUP(O62,Lookups!$M$10:$P$40,4,0)),"")</f>
        <v/>
      </c>
      <c r="Q62" s="78" t="s">
        <v>865</v>
      </c>
      <c r="R62" s="17" t="s">
        <v>621</v>
      </c>
      <c r="S62" s="13" t="s">
        <v>1155</v>
      </c>
      <c r="T62" s="13"/>
      <c r="U62" s="120" t="s">
        <v>2264</v>
      </c>
    </row>
    <row r="63" spans="1:21" s="40" customFormat="1" ht="60" hidden="1" customHeight="1" outlineLevel="2" x14ac:dyDescent="0.2">
      <c r="A63" s="13" t="s">
        <v>688</v>
      </c>
      <c r="B63" s="13" t="s">
        <v>700</v>
      </c>
      <c r="C63" s="13" t="s">
        <v>365</v>
      </c>
      <c r="D63" s="48" t="s">
        <v>864</v>
      </c>
      <c r="E63" s="13" t="s">
        <v>637</v>
      </c>
      <c r="F63" s="13" t="s">
        <v>629</v>
      </c>
      <c r="G63" s="13" t="s">
        <v>225</v>
      </c>
      <c r="H63" s="15">
        <v>1475</v>
      </c>
      <c r="I63" s="17" t="s">
        <v>664</v>
      </c>
      <c r="J63" s="19">
        <f>IF(H63&gt;0,(H63*VLOOKUP(Lookups!$K$11,Lookups!$M$10:$P$40,4,0)/VLOOKUP(I63,Lookups!$M$10:$P$40,4,0)),"")</f>
        <v>1606.6939355739769</v>
      </c>
      <c r="K63" s="15"/>
      <c r="L63" s="17"/>
      <c r="M63" s="19" t="str">
        <f>IF(K63&gt;0,(K63*VLOOKUP(Lookups!$K$11,Lookups!$M$10:$P$40,4,0)/VLOOKUP(L63,Lookups!$M$10:$P$40,4,0)),"")</f>
        <v/>
      </c>
      <c r="N63" s="15"/>
      <c r="O63" s="17"/>
      <c r="P63" s="19" t="str">
        <f>IF(N63&gt;0,(N63*VLOOKUP(Lookups!$K$11,Lookups!$M$10:$P$40,4,0)/VLOOKUP(O63,Lookups!$M$10:$P$40,4,0)),"")</f>
        <v/>
      </c>
      <c r="Q63" s="78" t="s">
        <v>865</v>
      </c>
      <c r="R63" s="17" t="s">
        <v>621</v>
      </c>
      <c r="S63" s="13" t="s">
        <v>1156</v>
      </c>
      <c r="T63" s="13"/>
      <c r="U63" s="120" t="s">
        <v>2264</v>
      </c>
    </row>
    <row r="64" spans="1:21" s="40" customFormat="1" ht="60" hidden="1" customHeight="1" outlineLevel="2" x14ac:dyDescent="0.2">
      <c r="A64" s="13" t="s">
        <v>688</v>
      </c>
      <c r="B64" s="13" t="s">
        <v>700</v>
      </c>
      <c r="C64" s="13" t="s">
        <v>366</v>
      </c>
      <c r="D64" s="48" t="s">
        <v>866</v>
      </c>
      <c r="E64" s="13" t="s">
        <v>637</v>
      </c>
      <c r="F64" s="13" t="s">
        <v>629</v>
      </c>
      <c r="G64" s="13" t="s">
        <v>225</v>
      </c>
      <c r="H64" s="15">
        <v>5055</v>
      </c>
      <c r="I64" s="17" t="s">
        <v>664</v>
      </c>
      <c r="J64" s="19">
        <f>IF(H64&gt;0,(H64*VLOOKUP(Lookups!$K$11,Lookups!$M$10:$P$40,4,0)/VLOOKUP(I64,Lookups!$M$10:$P$40,4,0)),"")</f>
        <v>5506.3307419162402</v>
      </c>
      <c r="K64" s="15"/>
      <c r="L64" s="17"/>
      <c r="M64" s="19" t="str">
        <f>IF(K64&gt;0,(K64*VLOOKUP(Lookups!$K$11,Lookups!$M$10:$P$40,4,0)/VLOOKUP(L64,Lookups!$M$10:$P$40,4,0)),"")</f>
        <v/>
      </c>
      <c r="N64" s="15"/>
      <c r="O64" s="17"/>
      <c r="P64" s="19" t="str">
        <f>IF(N64&gt;0,(N64*VLOOKUP(Lookups!$K$11,Lookups!$M$10:$P$40,4,0)/VLOOKUP(O64,Lookups!$M$10:$P$40,4,0)),"")</f>
        <v/>
      </c>
      <c r="Q64" s="78" t="s">
        <v>865</v>
      </c>
      <c r="R64" s="17" t="s">
        <v>621</v>
      </c>
      <c r="S64" s="13" t="s">
        <v>903</v>
      </c>
      <c r="T64" s="13"/>
      <c r="U64" s="120" t="s">
        <v>2264</v>
      </c>
    </row>
    <row r="65" spans="1:21" s="40" customFormat="1" ht="60" hidden="1" customHeight="1" outlineLevel="2" x14ac:dyDescent="0.2">
      <c r="A65" s="13" t="s">
        <v>688</v>
      </c>
      <c r="B65" s="13" t="s">
        <v>700</v>
      </c>
      <c r="C65" s="13" t="s">
        <v>367</v>
      </c>
      <c r="D65" s="48" t="s">
        <v>867</v>
      </c>
      <c r="E65" s="13" t="s">
        <v>637</v>
      </c>
      <c r="F65" s="13" t="s">
        <v>629</v>
      </c>
      <c r="G65" s="13" t="s">
        <v>225</v>
      </c>
      <c r="H65" s="15">
        <v>11459</v>
      </c>
      <c r="I65" s="17" t="s">
        <v>664</v>
      </c>
      <c r="J65" s="19">
        <f>IF(H65&gt;0,(H65*VLOOKUP(Lookups!$K$11,Lookups!$M$10:$P$40,4,0)/VLOOKUP(I65,Lookups!$M$10:$P$40,4,0)),"")</f>
        <v>12482.105632367595</v>
      </c>
      <c r="K65" s="15"/>
      <c r="L65" s="17"/>
      <c r="M65" s="19" t="str">
        <f>IF(K65&gt;0,(K65*VLOOKUP(Lookups!$K$11,Lookups!$M$10:$P$40,4,0)/VLOOKUP(L65,Lookups!$M$10:$P$40,4,0)),"")</f>
        <v/>
      </c>
      <c r="N65" s="15"/>
      <c r="O65" s="17"/>
      <c r="P65" s="19" t="str">
        <f>IF(N65&gt;0,(N65*VLOOKUP(Lookups!$K$11,Lookups!$M$10:$P$40,4,0)/VLOOKUP(O65,Lookups!$M$10:$P$40,4,0)),"")</f>
        <v/>
      </c>
      <c r="Q65" s="78" t="s">
        <v>865</v>
      </c>
      <c r="R65" s="17" t="s">
        <v>621</v>
      </c>
      <c r="S65" s="13" t="s">
        <v>904</v>
      </c>
      <c r="T65" s="13"/>
      <c r="U65" s="120" t="s">
        <v>2264</v>
      </c>
    </row>
    <row r="66" spans="1:21" s="40" customFormat="1" ht="60" hidden="1" customHeight="1" outlineLevel="2" x14ac:dyDescent="0.2">
      <c r="A66" s="13" t="s">
        <v>688</v>
      </c>
      <c r="B66" s="13" t="s">
        <v>700</v>
      </c>
      <c r="C66" s="13" t="s">
        <v>368</v>
      </c>
      <c r="D66" s="48" t="s">
        <v>561</v>
      </c>
      <c r="E66" s="13" t="s">
        <v>637</v>
      </c>
      <c r="F66" s="13" t="s">
        <v>629</v>
      </c>
      <c r="G66" s="13" t="s">
        <v>225</v>
      </c>
      <c r="H66" s="15">
        <v>1339</v>
      </c>
      <c r="I66" s="17" t="s">
        <v>664</v>
      </c>
      <c r="J66" s="19">
        <f>IF(H66&gt;0,(H66*VLOOKUP(Lookups!$K$11,Lookups!$M$10:$P$40,4,0)/VLOOKUP(I66,Lookups!$M$10:$P$40,4,0)),"")</f>
        <v>1458.5513082939358</v>
      </c>
      <c r="K66" s="15"/>
      <c r="L66" s="17"/>
      <c r="M66" s="19" t="str">
        <f>IF(K66&gt;0,(K66*VLOOKUP(Lookups!$K$11,Lookups!$M$10:$P$40,4,0)/VLOOKUP(L66,Lookups!$M$10:$P$40,4,0)),"")</f>
        <v/>
      </c>
      <c r="N66" s="15"/>
      <c r="O66" s="17"/>
      <c r="P66" s="19" t="str">
        <f>IF(N66&gt;0,(N66*VLOOKUP(Lookups!$K$11,Lookups!$M$10:$P$40,4,0)/VLOOKUP(O66,Lookups!$M$10:$P$40,4,0)),"")</f>
        <v/>
      </c>
      <c r="Q66" s="78" t="s">
        <v>865</v>
      </c>
      <c r="R66" s="17" t="s">
        <v>621</v>
      </c>
      <c r="S66" s="13" t="s">
        <v>906</v>
      </c>
      <c r="T66" s="13"/>
      <c r="U66" s="120" t="s">
        <v>2264</v>
      </c>
    </row>
    <row r="67" spans="1:21" s="40" customFormat="1" ht="60" hidden="1" customHeight="1" outlineLevel="2" x14ac:dyDescent="0.2">
      <c r="A67" s="13" t="s">
        <v>688</v>
      </c>
      <c r="B67" s="13" t="s">
        <v>700</v>
      </c>
      <c r="C67" s="13" t="s">
        <v>369</v>
      </c>
      <c r="D67" s="48" t="s">
        <v>562</v>
      </c>
      <c r="E67" s="13" t="s">
        <v>637</v>
      </c>
      <c r="F67" s="13" t="s">
        <v>629</v>
      </c>
      <c r="G67" s="13" t="s">
        <v>225</v>
      </c>
      <c r="H67" s="15">
        <v>4348</v>
      </c>
      <c r="I67" s="17" t="s">
        <v>664</v>
      </c>
      <c r="J67" s="19">
        <f>IF(H67&gt;0,(H67*VLOOKUP(Lookups!$K$11,Lookups!$M$10:$P$40,4,0)/VLOOKUP(I67,Lookups!$M$10:$P$40,4,0)),"")</f>
        <v>4736.206936864849</v>
      </c>
      <c r="K67" s="15"/>
      <c r="L67" s="17"/>
      <c r="M67" s="19" t="str">
        <f>IF(K67&gt;0,(K67*VLOOKUP(Lookups!$K$11,Lookups!$M$10:$P$40,4,0)/VLOOKUP(L67,Lookups!$M$10:$P$40,4,0)),"")</f>
        <v/>
      </c>
      <c r="N67" s="15"/>
      <c r="O67" s="17"/>
      <c r="P67" s="19" t="str">
        <f>IF(N67&gt;0,(N67*VLOOKUP(Lookups!$K$11,Lookups!$M$10:$P$40,4,0)/VLOOKUP(O67,Lookups!$M$10:$P$40,4,0)),"")</f>
        <v/>
      </c>
      <c r="Q67" s="78" t="s">
        <v>865</v>
      </c>
      <c r="R67" s="17" t="s">
        <v>621</v>
      </c>
      <c r="S67" s="13" t="s">
        <v>905</v>
      </c>
      <c r="T67" s="13"/>
      <c r="U67" s="120" t="s">
        <v>2264</v>
      </c>
    </row>
    <row r="68" spans="1:21" s="40" customFormat="1" ht="60" hidden="1" customHeight="1" outlineLevel="1" x14ac:dyDescent="0.2">
      <c r="A68" s="46" t="s">
        <v>688</v>
      </c>
      <c r="B68" s="46" t="s">
        <v>700</v>
      </c>
      <c r="C68" s="46" t="s">
        <v>307</v>
      </c>
      <c r="D68" s="46" t="s">
        <v>907</v>
      </c>
      <c r="E68" s="13" t="s">
        <v>634</v>
      </c>
      <c r="F68" s="13" t="s">
        <v>629</v>
      </c>
      <c r="G68" s="13" t="s">
        <v>225</v>
      </c>
      <c r="H68" s="15">
        <v>3660</v>
      </c>
      <c r="I68" s="17" t="s">
        <v>664</v>
      </c>
      <c r="J68" s="19">
        <f>IF(H68&gt;0,(H68*VLOOKUP(Lookups!$K$11,Lookups!$M$10:$P$40,4,0)/VLOOKUP(I68,Lookups!$M$10:$P$40,4,0)),"")</f>
        <v>3986.7795282716988</v>
      </c>
      <c r="K68" s="15"/>
      <c r="L68" s="17"/>
      <c r="M68" s="19" t="str">
        <f>IF(K68&gt;0,(K68*VLOOKUP(Lookups!$K$11,Lookups!$M$10:$P$40,4,0)/VLOOKUP(L68,Lookups!$M$10:$P$40,4,0)),"")</f>
        <v/>
      </c>
      <c r="N68" s="15"/>
      <c r="O68" s="17"/>
      <c r="P68" s="19" t="str">
        <f>IF(N68&gt;0,(N68*VLOOKUP(Lookups!$K$11,Lookups!$M$10:$P$40,4,0)/VLOOKUP(O68,Lookups!$M$10:$P$40,4,0)),"")</f>
        <v/>
      </c>
      <c r="Q68" s="78" t="s">
        <v>908</v>
      </c>
      <c r="R68" s="17" t="s">
        <v>621</v>
      </c>
      <c r="S68" s="13" t="s">
        <v>911</v>
      </c>
      <c r="T68" s="13"/>
      <c r="U68" s="120" t="s">
        <v>2264</v>
      </c>
    </row>
    <row r="69" spans="1:21" s="40" customFormat="1" ht="60" hidden="1" customHeight="1" outlineLevel="1" x14ac:dyDescent="0.2">
      <c r="A69" s="46" t="s">
        <v>688</v>
      </c>
      <c r="B69" s="46" t="s">
        <v>700</v>
      </c>
      <c r="C69" s="46" t="s">
        <v>308</v>
      </c>
      <c r="D69" s="46" t="s">
        <v>909</v>
      </c>
      <c r="E69" s="13" t="s">
        <v>634</v>
      </c>
      <c r="F69" s="13" t="s">
        <v>629</v>
      </c>
      <c r="G69" s="13" t="s">
        <v>225</v>
      </c>
      <c r="H69" s="15">
        <v>381</v>
      </c>
      <c r="I69" s="17" t="s">
        <v>664</v>
      </c>
      <c r="J69" s="19">
        <f>IF(H69&gt;0,(H69*VLOOKUP(Lookups!$K$11,Lookups!$M$10:$P$40,4,0)/VLOOKUP(I69,Lookups!$M$10:$P$40,4,0)),"")</f>
        <v>415.01721318893908</v>
      </c>
      <c r="K69" s="15"/>
      <c r="L69" s="17"/>
      <c r="M69" s="19" t="str">
        <f>IF(K69&gt;0,(K69*VLOOKUP(Lookups!$K$11,Lookups!$M$10:$P$40,4,0)/VLOOKUP(L69,Lookups!$M$10:$P$40,4,0)),"")</f>
        <v/>
      </c>
      <c r="N69" s="15"/>
      <c r="O69" s="17"/>
      <c r="P69" s="19" t="str">
        <f>IF(N69&gt;0,(N69*VLOOKUP(Lookups!$K$11,Lookups!$M$10:$P$40,4,0)/VLOOKUP(O69,Lookups!$M$10:$P$40,4,0)),"")</f>
        <v/>
      </c>
      <c r="Q69" s="78" t="s">
        <v>908</v>
      </c>
      <c r="R69" s="17" t="s">
        <v>621</v>
      </c>
      <c r="S69" s="13" t="s">
        <v>910</v>
      </c>
      <c r="T69" s="13"/>
      <c r="U69" s="120" t="s">
        <v>2264</v>
      </c>
    </row>
    <row r="70" spans="1:21" s="40" customFormat="1" ht="60" hidden="1" customHeight="1" outlineLevel="1" x14ac:dyDescent="0.2">
      <c r="A70" s="46" t="s">
        <v>688</v>
      </c>
      <c r="B70" s="46" t="s">
        <v>700</v>
      </c>
      <c r="C70" s="46" t="s">
        <v>309</v>
      </c>
      <c r="D70" s="46" t="s">
        <v>770</v>
      </c>
      <c r="E70" s="12" t="s">
        <v>771</v>
      </c>
      <c r="F70" s="13" t="s">
        <v>629</v>
      </c>
      <c r="G70" s="13" t="s">
        <v>225</v>
      </c>
      <c r="H70" s="11">
        <v>2467</v>
      </c>
      <c r="I70" s="17" t="s">
        <v>663</v>
      </c>
      <c r="J70" s="19">
        <f>IF(H70&gt;0,(H70*VLOOKUP(Lookups!$K$11,Lookups!$M$10:$P$40,4,0)/VLOOKUP(I70,Lookups!$M$10:$P$40,4,0)),"")</f>
        <v>2761.6471463689554</v>
      </c>
      <c r="K70" s="11"/>
      <c r="L70" s="17"/>
      <c r="M70" s="19" t="str">
        <f>IF(K70&gt;0,(K70*VLOOKUP(Lookups!$K$11,Lookups!$M$10:$P$40,4,0)/VLOOKUP(L70,Lookups!$M$10:$P$40,4,0)),"")</f>
        <v/>
      </c>
      <c r="N70" s="11"/>
      <c r="O70" s="17"/>
      <c r="P70" s="19" t="str">
        <f>IF(N70&gt;0,(N70*VLOOKUP(Lookups!$K$11,Lookups!$M$10:$P$40,4,0)/VLOOKUP(O70,Lookups!$M$10:$P$40,4,0)),"")</f>
        <v/>
      </c>
      <c r="Q70" s="78" t="s">
        <v>772</v>
      </c>
      <c r="R70" s="17" t="s">
        <v>619</v>
      </c>
      <c r="S70" s="4" t="s">
        <v>773</v>
      </c>
      <c r="T70" s="13"/>
      <c r="U70" s="120" t="s">
        <v>2066</v>
      </c>
    </row>
    <row r="71" spans="1:21" s="40" customFormat="1" ht="60" hidden="1" customHeight="1" outlineLevel="1" x14ac:dyDescent="0.2">
      <c r="A71" s="46" t="s">
        <v>688</v>
      </c>
      <c r="B71" s="46" t="s">
        <v>700</v>
      </c>
      <c r="C71" s="46" t="s">
        <v>310</v>
      </c>
      <c r="D71" s="46" t="s">
        <v>543</v>
      </c>
      <c r="E71" s="13" t="s">
        <v>626</v>
      </c>
      <c r="F71" s="13" t="s">
        <v>629</v>
      </c>
      <c r="G71" s="13" t="s">
        <v>225</v>
      </c>
      <c r="H71" s="15">
        <v>1274</v>
      </c>
      <c r="I71" s="17" t="s">
        <v>727</v>
      </c>
      <c r="J71" s="19">
        <f>IF(H71&gt;0,(H71*VLOOKUP(Lookups!$K$11,Lookups!$M$10:$P$40,4,0)/VLOOKUP(I71,Lookups!$M$10:$P$40,4,0)),"")</f>
        <v>1313.7972119999999</v>
      </c>
      <c r="K71" s="15"/>
      <c r="L71" s="17"/>
      <c r="M71" s="19" t="str">
        <f>IF(K71&gt;0,(K71*VLOOKUP(Lookups!$K$11,Lookups!$M$10:$P$40,4,0)/VLOOKUP(L71,Lookups!$M$10:$P$40,4,0)),"")</f>
        <v/>
      </c>
      <c r="N71" s="15"/>
      <c r="O71" s="17"/>
      <c r="P71" s="19" t="str">
        <f>IF(N71&gt;0,(N71*VLOOKUP(Lookups!$K$11,Lookups!$M$10:$P$40,4,0)/VLOOKUP(O71,Lookups!$M$10:$P$40,4,0)),"")</f>
        <v/>
      </c>
      <c r="Q71" s="78" t="s">
        <v>51</v>
      </c>
      <c r="R71" s="17" t="s">
        <v>621</v>
      </c>
      <c r="S71" s="4" t="s">
        <v>52</v>
      </c>
      <c r="T71" s="13" t="s">
        <v>1912</v>
      </c>
      <c r="U71" s="13" t="s">
        <v>277</v>
      </c>
    </row>
    <row r="72" spans="1:21" s="40" customFormat="1" ht="60" hidden="1" customHeight="1" outlineLevel="1" x14ac:dyDescent="0.2">
      <c r="A72" s="46" t="s">
        <v>688</v>
      </c>
      <c r="B72" s="46" t="s">
        <v>700</v>
      </c>
      <c r="C72" s="46" t="s">
        <v>311</v>
      </c>
      <c r="D72" s="46" t="s">
        <v>740</v>
      </c>
      <c r="E72" s="13" t="s">
        <v>626</v>
      </c>
      <c r="F72" s="13" t="s">
        <v>629</v>
      </c>
      <c r="G72" s="13" t="s">
        <v>225</v>
      </c>
      <c r="H72" s="15">
        <v>880</v>
      </c>
      <c r="I72" s="17" t="s">
        <v>727</v>
      </c>
      <c r="J72" s="19">
        <f>IF(H72&gt;0,(H72*VLOOKUP(Lookups!$K$11,Lookups!$M$10:$P$40,4,0)/VLOOKUP(I72,Lookups!$M$10:$P$40,4,0)),"")</f>
        <v>907.48943999999983</v>
      </c>
      <c r="K72" s="15"/>
      <c r="L72" s="17"/>
      <c r="M72" s="19" t="str">
        <f>IF(K72&gt;0,(K72*VLOOKUP(Lookups!$K$11,Lookups!$M$10:$P$40,4,0)/VLOOKUP(L72,Lookups!$M$10:$P$40,4,0)),"")</f>
        <v/>
      </c>
      <c r="N72" s="15"/>
      <c r="O72" s="17"/>
      <c r="P72" s="19" t="str">
        <f>IF(N72&gt;0,(N72*VLOOKUP(Lookups!$K$11,Lookups!$M$10:$P$40,4,0)/VLOOKUP(O72,Lookups!$M$10:$P$40,4,0)),"")</f>
        <v/>
      </c>
      <c r="Q72" s="78" t="s">
        <v>53</v>
      </c>
      <c r="R72" s="17" t="s">
        <v>621</v>
      </c>
      <c r="S72" s="4" t="s">
        <v>54</v>
      </c>
      <c r="T72" s="13" t="s">
        <v>1912</v>
      </c>
      <c r="U72" s="13" t="s">
        <v>277</v>
      </c>
    </row>
    <row r="73" spans="1:21" s="40" customFormat="1" ht="60" hidden="1" customHeight="1" outlineLevel="1" x14ac:dyDescent="0.2">
      <c r="A73" s="46" t="s">
        <v>688</v>
      </c>
      <c r="B73" s="46" t="s">
        <v>700</v>
      </c>
      <c r="C73" s="46" t="s">
        <v>312</v>
      </c>
      <c r="D73" s="46" t="s">
        <v>751</v>
      </c>
      <c r="E73" s="13" t="s">
        <v>637</v>
      </c>
      <c r="F73" s="13" t="s">
        <v>629</v>
      </c>
      <c r="G73" s="13" t="s">
        <v>225</v>
      </c>
      <c r="H73" s="15">
        <v>68</v>
      </c>
      <c r="I73" s="17" t="s">
        <v>727</v>
      </c>
      <c r="J73" s="19">
        <f>IF(H73&gt;0,(H73*VLOOKUP(Lookups!$K$11,Lookups!$M$10:$P$40,4,0)/VLOOKUP(I73,Lookups!$M$10:$P$40,4,0)),"")</f>
        <v>70.124184</v>
      </c>
      <c r="K73" s="15"/>
      <c r="L73" s="17"/>
      <c r="M73" s="19" t="str">
        <f>IF(K73&gt;0,(K73*VLOOKUP(Lookups!$K$11,Lookups!$M$10:$P$40,4,0)/VLOOKUP(L73,Lookups!$M$10:$P$40,4,0)),"")</f>
        <v/>
      </c>
      <c r="N73" s="15"/>
      <c r="O73" s="17"/>
      <c r="P73" s="19" t="str">
        <f>IF(N73&gt;0,(N73*VLOOKUP(Lookups!$K$11,Lookups!$M$10:$P$40,4,0)/VLOOKUP(O73,Lookups!$M$10:$P$40,4,0)),"")</f>
        <v/>
      </c>
      <c r="Q73" s="78" t="s">
        <v>188</v>
      </c>
      <c r="R73" s="17" t="s">
        <v>621</v>
      </c>
      <c r="S73" s="4" t="s">
        <v>189</v>
      </c>
      <c r="T73" s="13" t="s">
        <v>1912</v>
      </c>
      <c r="U73" s="13" t="s">
        <v>277</v>
      </c>
    </row>
    <row r="74" spans="1:21" s="40" customFormat="1" ht="60" hidden="1" customHeight="1" outlineLevel="1" x14ac:dyDescent="0.2">
      <c r="A74" s="46" t="s">
        <v>688</v>
      </c>
      <c r="B74" s="46" t="s">
        <v>700</v>
      </c>
      <c r="C74" s="46" t="s">
        <v>313</v>
      </c>
      <c r="D74" s="46" t="s">
        <v>898</v>
      </c>
      <c r="E74" s="13" t="s">
        <v>637</v>
      </c>
      <c r="F74" s="13" t="s">
        <v>629</v>
      </c>
      <c r="G74" s="13" t="s">
        <v>225</v>
      </c>
      <c r="H74" s="15">
        <v>6332</v>
      </c>
      <c r="I74" s="17" t="s">
        <v>728</v>
      </c>
      <c r="J74" s="19">
        <f>IF(H74&gt;0,(H74*VLOOKUP(Lookups!$K$11,Lookups!$M$10:$P$40,4,0)/VLOOKUP(I74,Lookups!$M$10:$P$40,4,0)),"")</f>
        <v>6420.6480000000001</v>
      </c>
      <c r="K74" s="15"/>
      <c r="L74" s="17"/>
      <c r="M74" s="19" t="str">
        <f>IF(K74&gt;0,(K74*VLOOKUP(Lookups!$K$11,Lookups!$M$10:$P$40,4,0)/VLOOKUP(L74,Lookups!$M$10:$P$40,4,0)),"")</f>
        <v/>
      </c>
      <c r="N74" s="15"/>
      <c r="O74" s="17"/>
      <c r="P74" s="19" t="str">
        <f>IF(N74&gt;0,(N74*VLOOKUP(Lookups!$K$11,Lookups!$M$10:$P$40,4,0)/VLOOKUP(O74,Lookups!$M$10:$P$40,4,0)),"")</f>
        <v/>
      </c>
      <c r="Q74" s="77" t="s">
        <v>2217</v>
      </c>
      <c r="R74" s="17" t="s">
        <v>621</v>
      </c>
      <c r="S74" s="13" t="s">
        <v>2216</v>
      </c>
      <c r="T74" s="13" t="s">
        <v>1912</v>
      </c>
      <c r="U74" s="13" t="s">
        <v>278</v>
      </c>
    </row>
    <row r="75" spans="1:21" s="40" customFormat="1" ht="60" hidden="1" customHeight="1" outlineLevel="1" x14ac:dyDescent="0.2">
      <c r="A75" s="46" t="s">
        <v>688</v>
      </c>
      <c r="B75" s="46" t="s">
        <v>700</v>
      </c>
      <c r="C75" s="46" t="s">
        <v>314</v>
      </c>
      <c r="D75" s="46" t="s">
        <v>899</v>
      </c>
      <c r="E75" s="13" t="s">
        <v>637</v>
      </c>
      <c r="F75" s="13" t="s">
        <v>629</v>
      </c>
      <c r="G75" s="13" t="s">
        <v>225</v>
      </c>
      <c r="H75" s="15">
        <v>5963</v>
      </c>
      <c r="I75" s="17" t="s">
        <v>728</v>
      </c>
      <c r="J75" s="19">
        <f>IF(H75&gt;0,(H75*VLOOKUP(Lookups!$K$11,Lookups!$M$10:$P$40,4,0)/VLOOKUP(I75,Lookups!$M$10:$P$40,4,0)),"")</f>
        <v>6046.482</v>
      </c>
      <c r="K75" s="15"/>
      <c r="L75" s="17"/>
      <c r="M75" s="19" t="str">
        <f>IF(K75&gt;0,(K75*VLOOKUP(Lookups!$K$11,Lookups!$M$10:$P$40,4,0)/VLOOKUP(L75,Lookups!$M$10:$P$40,4,0)),"")</f>
        <v/>
      </c>
      <c r="N75" s="15"/>
      <c r="O75" s="17"/>
      <c r="P75" s="19" t="str">
        <f>IF(N75&gt;0,(N75*VLOOKUP(Lookups!$K$11,Lookups!$M$10:$P$40,4,0)/VLOOKUP(O75,Lookups!$M$10:$P$40,4,0)),"")</f>
        <v/>
      </c>
      <c r="Q75" s="77" t="s">
        <v>2218</v>
      </c>
      <c r="R75" s="17" t="s">
        <v>621</v>
      </c>
      <c r="S75" s="13" t="s">
        <v>210</v>
      </c>
      <c r="T75" s="13" t="s">
        <v>1912</v>
      </c>
      <c r="U75" s="13" t="s">
        <v>278</v>
      </c>
    </row>
    <row r="76" spans="1:21" s="40" customFormat="1" ht="60" hidden="1" customHeight="1" outlineLevel="1" x14ac:dyDescent="0.2">
      <c r="A76" s="46" t="s">
        <v>688</v>
      </c>
      <c r="B76" s="46" t="s">
        <v>700</v>
      </c>
      <c r="C76" s="46" t="s">
        <v>315</v>
      </c>
      <c r="D76" s="46" t="s">
        <v>609</v>
      </c>
      <c r="E76" s="13" t="s">
        <v>637</v>
      </c>
      <c r="F76" s="13" t="s">
        <v>629</v>
      </c>
      <c r="G76" s="4" t="s">
        <v>1384</v>
      </c>
      <c r="H76" s="15">
        <v>12700</v>
      </c>
      <c r="I76" s="17" t="s">
        <v>662</v>
      </c>
      <c r="J76" s="19">
        <f>IF(H76&gt;0,(H76*VLOOKUP(Lookups!$K$11,Lookups!$M$10:$P$40,4,0)/VLOOKUP(I76,Lookups!$M$10:$P$40,4,0)),"")</f>
        <v>14584.334701582055</v>
      </c>
      <c r="K76" s="15"/>
      <c r="L76" s="17"/>
      <c r="M76" s="19" t="str">
        <f>IF(K76&gt;0,(K76*VLOOKUP(Lookups!$K$11,Lookups!$M$10:$P$40,4,0)/VLOOKUP(L76,Lookups!$M$10:$P$40,4,0)),"")</f>
        <v/>
      </c>
      <c r="N76" s="15"/>
      <c r="O76" s="17"/>
      <c r="P76" s="19" t="str">
        <f>IF(N76&gt;0,(N76*VLOOKUP(Lookups!$K$11,Lookups!$M$10:$P$40,4,0)/VLOOKUP(O76,Lookups!$M$10:$P$40,4,0)),"")</f>
        <v/>
      </c>
      <c r="Q76" s="78" t="s">
        <v>608</v>
      </c>
      <c r="R76" s="17" t="s">
        <v>619</v>
      </c>
      <c r="S76" s="13" t="s">
        <v>897</v>
      </c>
      <c r="T76" s="13"/>
      <c r="U76" s="120" t="s">
        <v>2264</v>
      </c>
    </row>
    <row r="77" spans="1:21" s="40" customFormat="1" ht="60" hidden="1" customHeight="1" outlineLevel="2" x14ac:dyDescent="0.2">
      <c r="A77" s="13" t="s">
        <v>688</v>
      </c>
      <c r="B77" s="13" t="s">
        <v>700</v>
      </c>
      <c r="C77" s="13" t="s">
        <v>370</v>
      </c>
      <c r="D77" s="48" t="s">
        <v>606</v>
      </c>
      <c r="E77" s="13" t="s">
        <v>637</v>
      </c>
      <c r="F77" s="13" t="s">
        <v>629</v>
      </c>
      <c r="G77" s="13" t="s">
        <v>225</v>
      </c>
      <c r="H77" s="15">
        <v>10000</v>
      </c>
      <c r="I77" s="17" t="s">
        <v>662</v>
      </c>
      <c r="J77" s="19">
        <f>IF(H77&gt;0,(H77*VLOOKUP(Lookups!$K$11,Lookups!$M$10:$P$40,4,0)/VLOOKUP(I77,Lookups!$M$10:$P$40,4,0)),"")</f>
        <v>11483.728111481933</v>
      </c>
      <c r="K77" s="15"/>
      <c r="L77" s="17"/>
      <c r="M77" s="19" t="str">
        <f>IF(K77&gt;0,(K77*VLOOKUP(Lookups!$K$11,Lookups!$M$10:$P$40,4,0)/VLOOKUP(L77,Lookups!$M$10:$P$40,4,0)),"")</f>
        <v/>
      </c>
      <c r="N77" s="15"/>
      <c r="O77" s="17"/>
      <c r="P77" s="19" t="str">
        <f>IF(N77&gt;0,(N77*VLOOKUP(Lookups!$K$11,Lookups!$M$10:$P$40,4,0)/VLOOKUP(O77,Lookups!$M$10:$P$40,4,0)),"")</f>
        <v/>
      </c>
      <c r="Q77" s="78" t="s">
        <v>608</v>
      </c>
      <c r="R77" s="17" t="s">
        <v>619</v>
      </c>
      <c r="S77" s="13" t="s">
        <v>1262</v>
      </c>
      <c r="T77" s="13"/>
      <c r="U77" s="120" t="s">
        <v>2264</v>
      </c>
    </row>
    <row r="78" spans="1:21" s="40" customFormat="1" ht="60" hidden="1" customHeight="1" outlineLevel="2" x14ac:dyDescent="0.2">
      <c r="A78" s="13" t="s">
        <v>688</v>
      </c>
      <c r="B78" s="13" t="s">
        <v>700</v>
      </c>
      <c r="C78" s="13" t="s">
        <v>371</v>
      </c>
      <c r="D78" s="48" t="s">
        <v>607</v>
      </c>
      <c r="E78" s="13" t="s">
        <v>637</v>
      </c>
      <c r="F78" s="13" t="s">
        <v>679</v>
      </c>
      <c r="G78" s="4" t="s">
        <v>1347</v>
      </c>
      <c r="H78" s="15">
        <v>2700</v>
      </c>
      <c r="I78" s="17" t="s">
        <v>662</v>
      </c>
      <c r="J78" s="19">
        <f>IF(H78&gt;0,(H78*VLOOKUP(Lookups!$K$11,Lookups!$M$10:$P$40,4,0)/VLOOKUP(I78,Lookups!$M$10:$P$40,4,0)),"")</f>
        <v>3100.606590100122</v>
      </c>
      <c r="K78" s="15"/>
      <c r="L78" s="17"/>
      <c r="M78" s="19" t="str">
        <f>IF(K78&gt;0,(K78*VLOOKUP(Lookups!$K$11,Lookups!$M$10:$P$40,4,0)/VLOOKUP(L78,Lookups!$M$10:$P$40,4,0)),"")</f>
        <v/>
      </c>
      <c r="N78" s="15"/>
      <c r="O78" s="17"/>
      <c r="P78" s="19" t="str">
        <f>IF(N78&gt;0,(N78*VLOOKUP(Lookups!$K$11,Lookups!$M$10:$P$40,4,0)/VLOOKUP(O78,Lookups!$M$10:$P$40,4,0)),"")</f>
        <v/>
      </c>
      <c r="Q78" s="78" t="s">
        <v>608</v>
      </c>
      <c r="R78" s="17" t="s">
        <v>619</v>
      </c>
      <c r="S78" s="13" t="s">
        <v>1429</v>
      </c>
      <c r="T78" s="13"/>
      <c r="U78" s="120" t="s">
        <v>2264</v>
      </c>
    </row>
    <row r="79" spans="1:21" s="40" customFormat="1" ht="60" hidden="1" customHeight="1" outlineLevel="1" x14ac:dyDescent="0.2">
      <c r="A79" s="46" t="s">
        <v>688</v>
      </c>
      <c r="B79" s="46" t="s">
        <v>700</v>
      </c>
      <c r="C79" s="46" t="s">
        <v>316</v>
      </c>
      <c r="D79" s="46" t="s">
        <v>528</v>
      </c>
      <c r="E79" s="13" t="s">
        <v>637</v>
      </c>
      <c r="F79" s="13" t="s">
        <v>629</v>
      </c>
      <c r="G79" s="13" t="s">
        <v>225</v>
      </c>
      <c r="H79" s="15">
        <v>2014</v>
      </c>
      <c r="I79" s="17" t="s">
        <v>654</v>
      </c>
      <c r="J79" s="19">
        <f>IF(H79&gt;0,(H79*VLOOKUP(Lookups!$K$11,Lookups!$M$10:$P$40,4,0)/VLOOKUP(I79,Lookups!$M$10:$P$40,4,0)),"")</f>
        <v>2825.341817519678</v>
      </c>
      <c r="K79" s="15"/>
      <c r="L79" s="17"/>
      <c r="M79" s="19" t="str">
        <f>IF(K79&gt;0,(K79*VLOOKUP(Lookups!$K$11,Lookups!$M$10:$P$40,4,0)/VLOOKUP(L79,Lookups!$M$10:$P$40,4,0)),"")</f>
        <v/>
      </c>
      <c r="N79" s="15"/>
      <c r="O79" s="17"/>
      <c r="P79" s="19" t="str">
        <f>IF(N79&gt;0,(N79*VLOOKUP(Lookups!$K$11,Lookups!$M$10:$P$40,4,0)/VLOOKUP(O79,Lookups!$M$10:$P$40,4,0)),"")</f>
        <v/>
      </c>
      <c r="Q79" s="77" t="s">
        <v>526</v>
      </c>
      <c r="R79" s="17" t="s">
        <v>619</v>
      </c>
      <c r="S79" s="13" t="s">
        <v>531</v>
      </c>
      <c r="T79" s="13"/>
      <c r="U79" s="120" t="s">
        <v>2264</v>
      </c>
    </row>
    <row r="80" spans="1:21" s="40" customFormat="1" ht="60" hidden="1" customHeight="1" outlineLevel="2" x14ac:dyDescent="0.2">
      <c r="A80" s="37" t="s">
        <v>688</v>
      </c>
      <c r="B80" s="37" t="s">
        <v>700</v>
      </c>
      <c r="C80" s="37" t="s">
        <v>372</v>
      </c>
      <c r="D80" s="45" t="s">
        <v>527</v>
      </c>
      <c r="E80" s="13" t="s">
        <v>637</v>
      </c>
      <c r="F80" s="13" t="s">
        <v>629</v>
      </c>
      <c r="G80" s="13" t="s">
        <v>225</v>
      </c>
      <c r="H80" s="15">
        <v>2353</v>
      </c>
      <c r="I80" s="17" t="s">
        <v>654</v>
      </c>
      <c r="J80" s="19">
        <f>IF(H80&gt;0,(H80*VLOOKUP(Lookups!$K$11,Lookups!$M$10:$P$40,4,0)/VLOOKUP(I80,Lookups!$M$10:$P$40,4,0)),"")</f>
        <v>3300.9082902799414</v>
      </c>
      <c r="K80" s="15"/>
      <c r="L80" s="17"/>
      <c r="M80" s="19" t="str">
        <f>IF(K80&gt;0,(K80*VLOOKUP(Lookups!$K$11,Lookups!$M$10:$P$40,4,0)/VLOOKUP(L80,Lookups!$M$10:$P$40,4,0)),"")</f>
        <v/>
      </c>
      <c r="N80" s="15"/>
      <c r="O80" s="17"/>
      <c r="P80" s="19" t="str">
        <f>IF(N80&gt;0,(N80*VLOOKUP(Lookups!$K$11,Lookups!$M$10:$P$40,4,0)/VLOOKUP(O80,Lookups!$M$10:$P$40,4,0)),"")</f>
        <v/>
      </c>
      <c r="Q80" s="77" t="s">
        <v>526</v>
      </c>
      <c r="R80" s="17" t="s">
        <v>619</v>
      </c>
      <c r="S80" s="13" t="s">
        <v>837</v>
      </c>
      <c r="T80" s="13"/>
      <c r="U80" s="120" t="s">
        <v>2264</v>
      </c>
    </row>
    <row r="81" spans="1:21" s="40" customFormat="1" ht="60" hidden="1" customHeight="1" outlineLevel="2" x14ac:dyDescent="0.2">
      <c r="A81" s="37" t="s">
        <v>688</v>
      </c>
      <c r="B81" s="37" t="s">
        <v>700</v>
      </c>
      <c r="C81" s="37" t="s">
        <v>373</v>
      </c>
      <c r="D81" s="45" t="s">
        <v>529</v>
      </c>
      <c r="E81" s="13" t="s">
        <v>637</v>
      </c>
      <c r="F81" s="13" t="s">
        <v>629</v>
      </c>
      <c r="G81" s="13" t="s">
        <v>225</v>
      </c>
      <c r="H81" s="15">
        <v>2026</v>
      </c>
      <c r="I81" s="17" t="s">
        <v>654</v>
      </c>
      <c r="J81" s="19">
        <f>IF(H81&gt;0,(H81*VLOOKUP(Lookups!$K$11,Lookups!$M$10:$P$40,4,0)/VLOOKUP(I81,Lookups!$M$10:$P$40,4,0)),"")</f>
        <v>2842.1760289448202</v>
      </c>
      <c r="K81" s="15"/>
      <c r="L81" s="17"/>
      <c r="M81" s="19" t="str">
        <f>IF(K81&gt;0,(K81*VLOOKUP(Lookups!$K$11,Lookups!$M$10:$P$40,4,0)/VLOOKUP(L81,Lookups!$M$10:$P$40,4,0)),"")</f>
        <v/>
      </c>
      <c r="N81" s="15"/>
      <c r="O81" s="17"/>
      <c r="P81" s="19" t="str">
        <f>IF(N81&gt;0,(N81*VLOOKUP(Lookups!$K$11,Lookups!$M$10:$P$40,4,0)/VLOOKUP(O81,Lookups!$M$10:$P$40,4,0)),"")</f>
        <v/>
      </c>
      <c r="Q81" s="77" t="s">
        <v>526</v>
      </c>
      <c r="R81" s="17" t="s">
        <v>619</v>
      </c>
      <c r="S81" s="13" t="s">
        <v>532</v>
      </c>
      <c r="T81" s="13"/>
      <c r="U81" s="120" t="s">
        <v>2264</v>
      </c>
    </row>
    <row r="82" spans="1:21" s="40" customFormat="1" ht="60" hidden="1" customHeight="1" outlineLevel="2" x14ac:dyDescent="0.2">
      <c r="A82" s="37" t="s">
        <v>688</v>
      </c>
      <c r="B82" s="37" t="s">
        <v>700</v>
      </c>
      <c r="C82" s="37" t="s">
        <v>374</v>
      </c>
      <c r="D82" s="45" t="s">
        <v>530</v>
      </c>
      <c r="E82" s="13" t="s">
        <v>637</v>
      </c>
      <c r="F82" s="13" t="s">
        <v>629</v>
      </c>
      <c r="G82" s="13" t="s">
        <v>225</v>
      </c>
      <c r="H82" s="15">
        <v>2179</v>
      </c>
      <c r="I82" s="17" t="s">
        <v>654</v>
      </c>
      <c r="J82" s="19">
        <f>IF(H82&gt;0,(H82*VLOOKUP(Lookups!$K$11,Lookups!$M$10:$P$40,4,0)/VLOOKUP(I82,Lookups!$M$10:$P$40,4,0)),"")</f>
        <v>3056.8122246153816</v>
      </c>
      <c r="K82" s="15"/>
      <c r="L82" s="17"/>
      <c r="M82" s="19" t="str">
        <f>IF(K82&gt;0,(K82*VLOOKUP(Lookups!$K$11,Lookups!$M$10:$P$40,4,0)/VLOOKUP(L82,Lookups!$M$10:$P$40,4,0)),"")</f>
        <v/>
      </c>
      <c r="N82" s="15"/>
      <c r="O82" s="17"/>
      <c r="P82" s="19" t="str">
        <f>IF(N82&gt;0,(N82*VLOOKUP(Lookups!$K$11,Lookups!$M$10:$P$40,4,0)/VLOOKUP(O82,Lookups!$M$10:$P$40,4,0)),"")</f>
        <v/>
      </c>
      <c r="Q82" s="77" t="s">
        <v>526</v>
      </c>
      <c r="R82" s="17" t="s">
        <v>619</v>
      </c>
      <c r="S82" s="13" t="s">
        <v>861</v>
      </c>
      <c r="T82" s="13"/>
      <c r="U82" s="120" t="s">
        <v>2264</v>
      </c>
    </row>
    <row r="83" spans="1:21" s="40" customFormat="1" ht="60" hidden="1" customHeight="1" outlineLevel="2" x14ac:dyDescent="0.2">
      <c r="A83" s="37" t="s">
        <v>688</v>
      </c>
      <c r="B83" s="37" t="s">
        <v>700</v>
      </c>
      <c r="C83" s="37" t="s">
        <v>375</v>
      </c>
      <c r="D83" s="45" t="s">
        <v>752</v>
      </c>
      <c r="E83" s="13" t="s">
        <v>637</v>
      </c>
      <c r="F83" s="13" t="s">
        <v>629</v>
      </c>
      <c r="G83" s="13" t="s">
        <v>225</v>
      </c>
      <c r="H83" s="15">
        <v>1844</v>
      </c>
      <c r="I83" s="17" t="s">
        <v>654</v>
      </c>
      <c r="J83" s="19">
        <f>IF(H83&gt;0,(H83*VLOOKUP(Lookups!$K$11,Lookups!$M$10:$P$40,4,0)/VLOOKUP(I83,Lookups!$M$10:$P$40,4,0)),"")</f>
        <v>2586.8571556634988</v>
      </c>
      <c r="K83" s="15"/>
      <c r="L83" s="17"/>
      <c r="M83" s="19" t="str">
        <f>IF(K83&gt;0,(K83*VLOOKUP(Lookups!$K$11,Lookups!$M$10:$P$40,4,0)/VLOOKUP(L83,Lookups!$M$10:$P$40,4,0)),"")</f>
        <v/>
      </c>
      <c r="N83" s="15"/>
      <c r="O83" s="17"/>
      <c r="P83" s="19" t="str">
        <f>IF(N83&gt;0,(N83*VLOOKUP(Lookups!$K$11,Lookups!$M$10:$P$40,4,0)/VLOOKUP(O83,Lookups!$M$10:$P$40,4,0)),"")</f>
        <v/>
      </c>
      <c r="Q83" s="77" t="s">
        <v>526</v>
      </c>
      <c r="R83" s="17" t="s">
        <v>619</v>
      </c>
      <c r="S83" s="13" t="s">
        <v>605</v>
      </c>
      <c r="T83" s="13"/>
      <c r="U83" s="120" t="s">
        <v>2264</v>
      </c>
    </row>
    <row r="84" spans="1:21" s="40" customFormat="1" ht="60" hidden="1" customHeight="1" outlineLevel="1" x14ac:dyDescent="0.2">
      <c r="A84" s="46" t="s">
        <v>688</v>
      </c>
      <c r="B84" s="46" t="s">
        <v>700</v>
      </c>
      <c r="C84" s="46" t="s">
        <v>317</v>
      </c>
      <c r="D84" s="46" t="s">
        <v>1056</v>
      </c>
      <c r="E84" s="14" t="s">
        <v>637</v>
      </c>
      <c r="F84" s="4" t="s">
        <v>629</v>
      </c>
      <c r="G84" s="13" t="s">
        <v>225</v>
      </c>
      <c r="H84" s="11">
        <v>486</v>
      </c>
      <c r="I84" s="17" t="s">
        <v>727</v>
      </c>
      <c r="J84" s="19">
        <f>IF(H84&gt;0,(H84*VLOOKUP(Lookups!$K$11,Lookups!$M$10:$P$40,4,0)/VLOOKUP(I84,Lookups!$M$10:$P$40,4,0)),"")</f>
        <v>501.18166799999989</v>
      </c>
      <c r="K84" s="11"/>
      <c r="L84" s="17"/>
      <c r="M84" s="19" t="str">
        <f>IF(K84&gt;0,(K84*VLOOKUP(Lookups!$K$11,Lookups!$M$10:$P$40,4,0)/VLOOKUP(L84,Lookups!$M$10:$P$40,4,0)),"")</f>
        <v/>
      </c>
      <c r="N84" s="11"/>
      <c r="O84" s="17"/>
      <c r="P84" s="19" t="str">
        <f>IF(N84&gt;0,(N84*VLOOKUP(Lookups!$K$11,Lookups!$M$10:$P$40,4,0)/VLOOKUP(O84,Lookups!$M$10:$P$40,4,0)),"")</f>
        <v/>
      </c>
      <c r="Q84" s="78" t="s">
        <v>191</v>
      </c>
      <c r="R84" s="17" t="s">
        <v>621</v>
      </c>
      <c r="S84" s="4" t="s">
        <v>190</v>
      </c>
      <c r="T84" s="13" t="s">
        <v>1912</v>
      </c>
      <c r="U84" s="13" t="s">
        <v>277</v>
      </c>
    </row>
    <row r="85" spans="1:21" s="40" customFormat="1" ht="60" hidden="1" customHeight="1" outlineLevel="1" x14ac:dyDescent="0.2">
      <c r="A85" s="46" t="s">
        <v>688</v>
      </c>
      <c r="B85" s="46" t="s">
        <v>700</v>
      </c>
      <c r="C85" s="46" t="s">
        <v>318</v>
      </c>
      <c r="D85" s="46" t="s">
        <v>1152</v>
      </c>
      <c r="E85" s="14" t="s">
        <v>637</v>
      </c>
      <c r="F85" s="4" t="s">
        <v>629</v>
      </c>
      <c r="G85" s="13" t="s">
        <v>225</v>
      </c>
      <c r="H85" s="11">
        <v>983</v>
      </c>
      <c r="I85" s="17" t="s">
        <v>727</v>
      </c>
      <c r="J85" s="19">
        <f>IF(H85&gt;0,(H85*VLOOKUP(Lookups!$K$11,Lookups!$M$10:$P$40,4,0)/VLOOKUP(I85,Lookups!$M$10:$P$40,4,0)),"")</f>
        <v>1013.7069539999999</v>
      </c>
      <c r="K85" s="11"/>
      <c r="L85" s="17"/>
      <c r="M85" s="19" t="str">
        <f>IF(K85&gt;0,(K85*VLOOKUP(Lookups!$K$11,Lookups!$M$10:$P$40,4,0)/VLOOKUP(L85,Lookups!$M$10:$P$40,4,0)),"")</f>
        <v/>
      </c>
      <c r="N85" s="11"/>
      <c r="O85" s="17"/>
      <c r="P85" s="19" t="str">
        <f>IF(N85&gt;0,(N85*VLOOKUP(Lookups!$K$11,Lookups!$M$10:$P$40,4,0)/VLOOKUP(O85,Lookups!$M$10:$P$40,4,0)),"")</f>
        <v/>
      </c>
      <c r="Q85" s="78" t="s">
        <v>192</v>
      </c>
      <c r="R85" s="17" t="s">
        <v>621</v>
      </c>
      <c r="S85" s="4" t="s">
        <v>193</v>
      </c>
      <c r="T85" s="13" t="s">
        <v>1912</v>
      </c>
      <c r="U85" s="13" t="s">
        <v>277</v>
      </c>
    </row>
    <row r="86" spans="1:21" s="40" customFormat="1" ht="60" hidden="1" customHeight="1" outlineLevel="1" x14ac:dyDescent="0.2">
      <c r="A86" s="46" t="s">
        <v>688</v>
      </c>
      <c r="B86" s="46" t="s">
        <v>700</v>
      </c>
      <c r="C86" s="46" t="s">
        <v>319</v>
      </c>
      <c r="D86" s="46" t="s">
        <v>1153</v>
      </c>
      <c r="E86" s="14" t="s">
        <v>637</v>
      </c>
      <c r="F86" s="4" t="s">
        <v>629</v>
      </c>
      <c r="G86" s="13" t="s">
        <v>225</v>
      </c>
      <c r="H86" s="11">
        <v>572</v>
      </c>
      <c r="I86" s="17" t="s">
        <v>727</v>
      </c>
      <c r="J86" s="19">
        <f>IF(H86&gt;0,(H86*VLOOKUP(Lookups!$K$11,Lookups!$M$10:$P$40,4,0)/VLOOKUP(I86,Lookups!$M$10:$P$40,4,0)),"")</f>
        <v>589.86813599999994</v>
      </c>
      <c r="K86" s="11"/>
      <c r="L86" s="17"/>
      <c r="M86" s="19" t="str">
        <f>IF(K86&gt;0,(K86*VLOOKUP(Lookups!$K$11,Lookups!$M$10:$P$40,4,0)/VLOOKUP(L86,Lookups!$M$10:$P$40,4,0)),"")</f>
        <v/>
      </c>
      <c r="N86" s="11"/>
      <c r="O86" s="17"/>
      <c r="P86" s="19" t="str">
        <f>IF(N86&gt;0,(N86*VLOOKUP(Lookups!$K$11,Lookups!$M$10:$P$40,4,0)/VLOOKUP(O86,Lookups!$M$10:$P$40,4,0)),"")</f>
        <v/>
      </c>
      <c r="Q86" s="78" t="s">
        <v>194</v>
      </c>
      <c r="R86" s="17" t="s">
        <v>621</v>
      </c>
      <c r="S86" s="4" t="s">
        <v>195</v>
      </c>
      <c r="T86" s="13" t="s">
        <v>1912</v>
      </c>
      <c r="U86" s="13" t="s">
        <v>277</v>
      </c>
    </row>
    <row r="87" spans="1:21" s="40" customFormat="1" ht="60" customHeight="1" collapsed="1" x14ac:dyDescent="0.2">
      <c r="A87" s="43" t="s">
        <v>688</v>
      </c>
      <c r="B87" s="43" t="s">
        <v>700</v>
      </c>
      <c r="C87" s="43" t="s">
        <v>1980</v>
      </c>
      <c r="D87" s="42" t="s">
        <v>183</v>
      </c>
      <c r="E87" s="12" t="s">
        <v>771</v>
      </c>
      <c r="F87" s="4" t="s">
        <v>629</v>
      </c>
      <c r="G87" s="13" t="s">
        <v>225</v>
      </c>
      <c r="H87" s="11">
        <v>111</v>
      </c>
      <c r="I87" s="17" t="s">
        <v>727</v>
      </c>
      <c r="J87" s="19">
        <f>IF(H87&gt;0,(H87*VLOOKUP(Lookups!$K$11,Lookups!$M$10:$P$40,4,0)/VLOOKUP(I87,Lookups!$M$10:$P$40,4,0)),"")</f>
        <v>114.46741799999998</v>
      </c>
      <c r="K87" s="11"/>
      <c r="L87" s="17"/>
      <c r="M87" s="19" t="str">
        <f>IF(K87&gt;0,(K87*VLOOKUP(Lookups!$K$11,Lookups!$M$10:$P$40,4,0)/VLOOKUP(L87,Lookups!$M$10:$P$40,4,0)),"")</f>
        <v/>
      </c>
      <c r="N87" s="11"/>
      <c r="O87" s="17"/>
      <c r="P87" s="19" t="str">
        <f>IF(N87&gt;0,(N87*VLOOKUP(Lookups!$K$11,Lookups!$M$10:$P$40,4,0)/VLOOKUP(O87,Lookups!$M$10:$P$40,4,0)),"")</f>
        <v/>
      </c>
      <c r="Q87" s="78" t="s">
        <v>184</v>
      </c>
      <c r="R87" s="17" t="s">
        <v>621</v>
      </c>
      <c r="S87" s="4" t="s">
        <v>185</v>
      </c>
      <c r="T87" s="13" t="s">
        <v>1912</v>
      </c>
      <c r="U87" s="13" t="s">
        <v>282</v>
      </c>
    </row>
    <row r="88" spans="1:21" s="40" customFormat="1" ht="60" hidden="1" customHeight="1" outlineLevel="1" x14ac:dyDescent="0.2">
      <c r="A88" s="46" t="s">
        <v>688</v>
      </c>
      <c r="B88" s="46" t="s">
        <v>700</v>
      </c>
      <c r="C88" s="46" t="s">
        <v>274</v>
      </c>
      <c r="D88" s="46" t="s">
        <v>774</v>
      </c>
      <c r="E88" s="12" t="s">
        <v>771</v>
      </c>
      <c r="F88" s="4" t="s">
        <v>629</v>
      </c>
      <c r="G88" s="13" t="s">
        <v>225</v>
      </c>
      <c r="H88" s="11">
        <v>131</v>
      </c>
      <c r="I88" s="17" t="s">
        <v>727</v>
      </c>
      <c r="J88" s="19">
        <f>IF(H88&gt;0,(H88*VLOOKUP(Lookups!$K$11,Lookups!$M$10:$P$40,4,0)/VLOOKUP(I88,Lookups!$M$10:$P$40,4,0)),"")</f>
        <v>135.09217799999999</v>
      </c>
      <c r="K88" s="11"/>
      <c r="L88" s="17"/>
      <c r="M88" s="19" t="str">
        <f>IF(K88&gt;0,(K88*VLOOKUP(Lookups!$K$11,Lookups!$M$10:$P$40,4,0)/VLOOKUP(L88,Lookups!$M$10:$P$40,4,0)),"")</f>
        <v/>
      </c>
      <c r="N88" s="11"/>
      <c r="O88" s="17"/>
      <c r="P88" s="19" t="str">
        <f>IF(N88&gt;0,(N88*VLOOKUP(Lookups!$K$11,Lookups!$M$10:$P$40,4,0)/VLOOKUP(O88,Lookups!$M$10:$P$40,4,0)),"")</f>
        <v/>
      </c>
      <c r="Q88" s="78" t="s">
        <v>186</v>
      </c>
      <c r="R88" s="17" t="s">
        <v>621</v>
      </c>
      <c r="S88" s="4" t="s">
        <v>187</v>
      </c>
      <c r="T88" s="13" t="s">
        <v>1912</v>
      </c>
      <c r="U88" s="13" t="s">
        <v>282</v>
      </c>
    </row>
    <row r="89" spans="1:21" s="40" customFormat="1" ht="60" hidden="1" customHeight="1" outlineLevel="1" x14ac:dyDescent="0.2">
      <c r="A89" s="46" t="s">
        <v>688</v>
      </c>
      <c r="B89" s="46" t="s">
        <v>700</v>
      </c>
      <c r="C89" s="46" t="s">
        <v>275</v>
      </c>
      <c r="D89" s="46" t="s">
        <v>2467</v>
      </c>
      <c r="E89" s="13" t="s">
        <v>637</v>
      </c>
      <c r="F89" s="13" t="s">
        <v>629</v>
      </c>
      <c r="G89" s="13" t="s">
        <v>225</v>
      </c>
      <c r="H89" s="15">
        <v>189</v>
      </c>
      <c r="I89" s="17" t="s">
        <v>727</v>
      </c>
      <c r="J89" s="19">
        <f>IF(H89&gt;0,(H89*VLOOKUP(Lookups!$K$11,Lookups!$M$10:$P$40,4,0)/VLOOKUP(I89,Lookups!$M$10:$P$40,4,0)),"")</f>
        <v>194.90398199999996</v>
      </c>
      <c r="K89" s="15"/>
      <c r="L89" s="17"/>
      <c r="M89" s="19" t="str">
        <f>IF(K89&gt;0,(K89*VLOOKUP(Lookups!$K$11,Lookups!$M$10:$P$40,4,0)/VLOOKUP(L89,Lookups!$M$10:$P$40,4,0)),"")</f>
        <v/>
      </c>
      <c r="N89" s="15"/>
      <c r="O89" s="17"/>
      <c r="P89" s="19" t="str">
        <f>IF(N89&gt;0,(N89*VLOOKUP(Lookups!$K$11,Lookups!$M$10:$P$40,4,0)/VLOOKUP(O89,Lookups!$M$10:$P$40,4,0)),"")</f>
        <v/>
      </c>
      <c r="Q89" s="77" t="s">
        <v>2468</v>
      </c>
      <c r="R89" s="17" t="s">
        <v>621</v>
      </c>
      <c r="S89" s="13" t="s">
        <v>2469</v>
      </c>
      <c r="T89" s="4" t="s">
        <v>1912</v>
      </c>
      <c r="U89" s="110" t="s">
        <v>283</v>
      </c>
    </row>
    <row r="90" spans="1:21" s="40" customFormat="1" ht="60" hidden="1" customHeight="1" outlineLevel="1" x14ac:dyDescent="0.2">
      <c r="A90" s="46" t="s">
        <v>688</v>
      </c>
      <c r="B90" s="46" t="s">
        <v>700</v>
      </c>
      <c r="C90" s="46" t="s">
        <v>320</v>
      </c>
      <c r="D90" s="46" t="s">
        <v>180</v>
      </c>
      <c r="E90" s="13" t="s">
        <v>623</v>
      </c>
      <c r="F90" s="13" t="s">
        <v>629</v>
      </c>
      <c r="G90" s="13" t="s">
        <v>225</v>
      </c>
      <c r="H90" s="15">
        <v>126</v>
      </c>
      <c r="I90" s="17" t="s">
        <v>727</v>
      </c>
      <c r="J90" s="19">
        <f>IF(H90&gt;0,(H90*VLOOKUP(Lookups!$K$11,Lookups!$M$10:$P$40,4,0)/VLOOKUP(I90,Lookups!$M$10:$P$40,4,0)),"")</f>
        <v>129.93598799999998</v>
      </c>
      <c r="K90" s="15"/>
      <c r="L90" s="17"/>
      <c r="M90" s="19" t="str">
        <f>IF(K90&gt;0,(K90*VLOOKUP(Lookups!$K$11,Lookups!$M$10:$P$40,4,0)/VLOOKUP(L90,Lookups!$M$10:$P$40,4,0)),"")</f>
        <v/>
      </c>
      <c r="N90" s="15"/>
      <c r="O90" s="17"/>
      <c r="P90" s="19" t="str">
        <f>IF(N90&gt;0,(N90*VLOOKUP(Lookups!$K$11,Lookups!$M$10:$P$40,4,0)/VLOOKUP(O90,Lookups!$M$10:$P$40,4,0)),"")</f>
        <v/>
      </c>
      <c r="Q90" s="78" t="s">
        <v>181</v>
      </c>
      <c r="R90" s="17" t="s">
        <v>621</v>
      </c>
      <c r="S90" s="13" t="s">
        <v>182</v>
      </c>
      <c r="T90" s="13" t="s">
        <v>1912</v>
      </c>
      <c r="U90" s="13" t="s">
        <v>284</v>
      </c>
    </row>
    <row r="91" spans="1:21" s="40" customFormat="1" ht="60" customHeight="1" collapsed="1" x14ac:dyDescent="0.2">
      <c r="A91" s="43" t="s">
        <v>688</v>
      </c>
      <c r="B91" s="43" t="s">
        <v>700</v>
      </c>
      <c r="C91" s="43" t="s">
        <v>1981</v>
      </c>
      <c r="D91" s="42" t="s">
        <v>1039</v>
      </c>
      <c r="E91" s="12" t="s">
        <v>626</v>
      </c>
      <c r="F91" s="4" t="s">
        <v>629</v>
      </c>
      <c r="G91" s="13" t="s">
        <v>225</v>
      </c>
      <c r="H91" s="11">
        <v>698</v>
      </c>
      <c r="I91" s="17" t="s">
        <v>727</v>
      </c>
      <c r="J91" s="19">
        <f>IF(H91&gt;0,(H91*VLOOKUP(Lookups!$K$11,Lookups!$M$10:$P$40,4,0)/VLOOKUP(I91,Lookups!$M$10:$P$40,4,0)),"")</f>
        <v>719.804124</v>
      </c>
      <c r="K91" s="11"/>
      <c r="L91" s="17"/>
      <c r="M91" s="19" t="str">
        <f>IF(K91&gt;0,(K91*VLOOKUP(Lookups!$K$11,Lookups!$M$10:$P$40,4,0)/VLOOKUP(L91,Lookups!$M$10:$P$40,4,0)),"")</f>
        <v/>
      </c>
      <c r="N91" s="11"/>
      <c r="O91" s="17"/>
      <c r="P91" s="19" t="str">
        <f>IF(N91&gt;0,(N91*VLOOKUP(Lookups!$K$11,Lookups!$M$10:$P$40,4,0)/VLOOKUP(O91,Lookups!$M$10:$P$40,4,0)),"")</f>
        <v/>
      </c>
      <c r="Q91" s="78" t="s">
        <v>196</v>
      </c>
      <c r="R91" s="17" t="s">
        <v>621</v>
      </c>
      <c r="S91" s="4" t="s">
        <v>197</v>
      </c>
      <c r="T91" s="13" t="s">
        <v>1912</v>
      </c>
      <c r="U91" s="13" t="s">
        <v>277</v>
      </c>
    </row>
    <row r="92" spans="1:21" s="40" customFormat="1" ht="60" hidden="1" customHeight="1" outlineLevel="1" x14ac:dyDescent="0.2">
      <c r="A92" s="46" t="s">
        <v>688</v>
      </c>
      <c r="B92" s="46" t="s">
        <v>700</v>
      </c>
      <c r="C92" s="46" t="s">
        <v>975</v>
      </c>
      <c r="D92" s="46" t="s">
        <v>776</v>
      </c>
      <c r="E92" s="13" t="s">
        <v>1428</v>
      </c>
      <c r="F92" s="13" t="s">
        <v>629</v>
      </c>
      <c r="G92" s="13" t="s">
        <v>225</v>
      </c>
      <c r="H92" s="15">
        <v>139.86000000000001</v>
      </c>
      <c r="I92" s="17" t="s">
        <v>665</v>
      </c>
      <c r="J92" s="19">
        <f>IF(H92&gt;0,(H92*VLOOKUP(Lookups!$K$11,Lookups!$M$10:$P$40,4,0)/VLOOKUP(I92,Lookups!$M$10:$P$40,4,0)),"")</f>
        <v>149.66820278331522</v>
      </c>
      <c r="K92" s="15"/>
      <c r="L92" s="17"/>
      <c r="M92" s="19" t="str">
        <f>IF(K92&gt;0,(K92*VLOOKUP(Lookups!$K$11,Lookups!$M$10:$P$40,4,0)/VLOOKUP(L92,Lookups!$M$10:$P$40,4,0)),"")</f>
        <v/>
      </c>
      <c r="N92" s="15"/>
      <c r="O92" s="17"/>
      <c r="P92" s="19" t="str">
        <f>IF(N92&gt;0,(N92*VLOOKUP(Lookups!$K$11,Lookups!$M$10:$P$40,4,0)/VLOOKUP(O92,Lookups!$M$10:$P$40,4,0)),"")</f>
        <v/>
      </c>
      <c r="Q92" s="78" t="s">
        <v>775</v>
      </c>
      <c r="R92" s="17" t="s">
        <v>619</v>
      </c>
      <c r="S92" s="4" t="s">
        <v>198</v>
      </c>
      <c r="T92" s="13"/>
      <c r="U92" s="120" t="s">
        <v>273</v>
      </c>
    </row>
    <row r="93" spans="1:21" s="40" customFormat="1" ht="60" customHeight="1" collapsed="1" x14ac:dyDescent="0.2">
      <c r="A93" s="43" t="s">
        <v>688</v>
      </c>
      <c r="B93" s="43" t="s">
        <v>700</v>
      </c>
      <c r="C93" s="43" t="s">
        <v>1982</v>
      </c>
      <c r="D93" s="42" t="s">
        <v>759</v>
      </c>
      <c r="E93" s="13" t="s">
        <v>628</v>
      </c>
      <c r="F93" s="13" t="s">
        <v>629</v>
      </c>
      <c r="G93" s="13" t="s">
        <v>225</v>
      </c>
      <c r="H93" s="15">
        <v>51</v>
      </c>
      <c r="I93" s="17" t="s">
        <v>727</v>
      </c>
      <c r="J93" s="19">
        <f>IF(H93&gt;0,(H93*VLOOKUP(Lookups!$K$11,Lookups!$M$10:$P$40,4,0)/VLOOKUP(I93,Lookups!$M$10:$P$40,4,0)),"")</f>
        <v>52.593137999999989</v>
      </c>
      <c r="K93" s="15"/>
      <c r="L93" s="17"/>
      <c r="M93" s="19" t="str">
        <f>IF(K93&gt;0,(K93*VLOOKUP(Lookups!$K$11,Lookups!$M$10:$P$40,4,0)/VLOOKUP(L93,Lookups!$M$10:$P$40,4,0)),"")</f>
        <v/>
      </c>
      <c r="N93" s="15"/>
      <c r="O93" s="17"/>
      <c r="P93" s="19" t="str">
        <f>IF(N93&gt;0,(N93*VLOOKUP(Lookups!$K$11,Lookups!$M$10:$P$40,4,0)/VLOOKUP(O93,Lookups!$M$10:$P$40,4,0)),"")</f>
        <v/>
      </c>
      <c r="Q93" s="77" t="s">
        <v>2396</v>
      </c>
      <c r="R93" s="17" t="s">
        <v>621</v>
      </c>
      <c r="S93" s="13" t="s">
        <v>2399</v>
      </c>
      <c r="T93" s="4" t="s">
        <v>1912</v>
      </c>
      <c r="U93" s="110" t="s">
        <v>305</v>
      </c>
    </row>
    <row r="94" spans="1:21" s="40" customFormat="1" ht="60" hidden="1" customHeight="1" outlineLevel="1" x14ac:dyDescent="0.2">
      <c r="A94" s="46" t="s">
        <v>688</v>
      </c>
      <c r="B94" s="46" t="s">
        <v>700</v>
      </c>
      <c r="C94" s="46" t="s">
        <v>976</v>
      </c>
      <c r="D94" s="46" t="s">
        <v>760</v>
      </c>
      <c r="E94" s="13" t="s">
        <v>628</v>
      </c>
      <c r="F94" s="13" t="s">
        <v>629</v>
      </c>
      <c r="G94" s="13" t="s">
        <v>225</v>
      </c>
      <c r="H94" s="15">
        <v>42</v>
      </c>
      <c r="I94" s="17" t="s">
        <v>727</v>
      </c>
      <c r="J94" s="19">
        <f>IF(H94&gt;0,(H94*VLOOKUP(Lookups!$K$11,Lookups!$M$10:$P$40,4,0)/VLOOKUP(I94,Lookups!$M$10:$P$40,4,0)),"")</f>
        <v>43.311995999999994</v>
      </c>
      <c r="K94" s="15"/>
      <c r="L94" s="17"/>
      <c r="M94" s="19" t="str">
        <f>IF(K94&gt;0,(K94*VLOOKUP(Lookups!$K$11,Lookups!$M$10:$P$40,4,0)/VLOOKUP(L94,Lookups!$M$10:$P$40,4,0)),"")</f>
        <v/>
      </c>
      <c r="N94" s="15"/>
      <c r="O94" s="17"/>
      <c r="P94" s="19" t="str">
        <f>IF(N94&gt;0,(N94*VLOOKUP(Lookups!$K$11,Lookups!$M$10:$P$40,4,0)/VLOOKUP(O94,Lookups!$M$10:$P$40,4,0)),"")</f>
        <v/>
      </c>
      <c r="Q94" s="77" t="s">
        <v>2400</v>
      </c>
      <c r="R94" s="17" t="s">
        <v>621</v>
      </c>
      <c r="S94" s="13" t="s">
        <v>2401</v>
      </c>
      <c r="T94" s="4" t="s">
        <v>1912</v>
      </c>
      <c r="U94" s="110" t="s">
        <v>305</v>
      </c>
    </row>
    <row r="95" spans="1:21" s="40" customFormat="1" ht="60" hidden="1" customHeight="1" outlineLevel="1" x14ac:dyDescent="0.2">
      <c r="A95" s="46" t="s">
        <v>688</v>
      </c>
      <c r="B95" s="46" t="s">
        <v>700</v>
      </c>
      <c r="C95" s="46" t="s">
        <v>1954</v>
      </c>
      <c r="D95" s="46" t="s">
        <v>762</v>
      </c>
      <c r="E95" s="13" t="s">
        <v>628</v>
      </c>
      <c r="F95" s="13" t="s">
        <v>629</v>
      </c>
      <c r="G95" s="13" t="s">
        <v>225</v>
      </c>
      <c r="H95" s="15">
        <v>34</v>
      </c>
      <c r="I95" s="17" t="s">
        <v>727</v>
      </c>
      <c r="J95" s="19">
        <f>IF(H95&gt;0,(H95*VLOOKUP(Lookups!$K$11,Lookups!$M$10:$P$40,4,0)/VLOOKUP(I95,Lookups!$M$10:$P$40,4,0)),"")</f>
        <v>35.062092</v>
      </c>
      <c r="K95" s="15"/>
      <c r="L95" s="17"/>
      <c r="M95" s="19" t="str">
        <f>IF(K95&gt;0,(K95*VLOOKUP(Lookups!$K$11,Lookups!$M$10:$P$40,4,0)/VLOOKUP(L95,Lookups!$M$10:$P$40,4,0)),"")</f>
        <v/>
      </c>
      <c r="N95" s="15"/>
      <c r="O95" s="17"/>
      <c r="P95" s="19" t="str">
        <f>IF(N95&gt;0,(N95*VLOOKUP(Lookups!$K$11,Lookups!$M$10:$P$40,4,0)/VLOOKUP(O95,Lookups!$M$10:$P$40,4,0)),"")</f>
        <v/>
      </c>
      <c r="Q95" s="77" t="s">
        <v>2402</v>
      </c>
      <c r="R95" s="17" t="s">
        <v>621</v>
      </c>
      <c r="S95" s="13" t="s">
        <v>2403</v>
      </c>
      <c r="T95" s="4" t="s">
        <v>1912</v>
      </c>
      <c r="U95" s="110" t="s">
        <v>305</v>
      </c>
    </row>
    <row r="96" spans="1:21" s="40" customFormat="1" ht="60" hidden="1" customHeight="1" outlineLevel="1" x14ac:dyDescent="0.2">
      <c r="A96" s="46" t="s">
        <v>688</v>
      </c>
      <c r="B96" s="46" t="s">
        <v>700</v>
      </c>
      <c r="C96" s="46" t="s">
        <v>279</v>
      </c>
      <c r="D96" s="46" t="s">
        <v>761</v>
      </c>
      <c r="E96" s="13" t="s">
        <v>628</v>
      </c>
      <c r="F96" s="13" t="s">
        <v>629</v>
      </c>
      <c r="G96" s="13" t="s">
        <v>225</v>
      </c>
      <c r="H96" s="15">
        <v>34</v>
      </c>
      <c r="I96" s="17" t="s">
        <v>727</v>
      </c>
      <c r="J96" s="19">
        <f>IF(H96&gt;0,(H96*VLOOKUP(Lookups!$K$11,Lookups!$M$10:$P$40,4,0)/VLOOKUP(I96,Lookups!$M$10:$P$40,4,0)),"")</f>
        <v>35.062092</v>
      </c>
      <c r="K96" s="15"/>
      <c r="L96" s="17"/>
      <c r="M96" s="19" t="str">
        <f>IF(K96&gt;0,(K96*VLOOKUP(Lookups!$K$11,Lookups!$M$10:$P$40,4,0)/VLOOKUP(L96,Lookups!$M$10:$P$40,4,0)),"")</f>
        <v/>
      </c>
      <c r="N96" s="15"/>
      <c r="O96" s="17"/>
      <c r="P96" s="19" t="str">
        <f>IF(N96&gt;0,(N96*VLOOKUP(Lookups!$K$11,Lookups!$M$10:$P$40,4,0)/VLOOKUP(O96,Lookups!$M$10:$P$40,4,0)),"")</f>
        <v/>
      </c>
      <c r="Q96" s="77" t="s">
        <v>2405</v>
      </c>
      <c r="R96" s="17" t="s">
        <v>621</v>
      </c>
      <c r="S96" s="13" t="s">
        <v>2404</v>
      </c>
      <c r="T96" s="4" t="s">
        <v>1912</v>
      </c>
      <c r="U96" s="110" t="s">
        <v>305</v>
      </c>
    </row>
    <row r="97" spans="1:21" s="40" customFormat="1" ht="60" hidden="1" customHeight="1" outlineLevel="1" x14ac:dyDescent="0.2">
      <c r="A97" s="46" t="s">
        <v>688</v>
      </c>
      <c r="B97" s="46" t="s">
        <v>700</v>
      </c>
      <c r="C97" s="46" t="s">
        <v>321</v>
      </c>
      <c r="D97" s="46" t="s">
        <v>739</v>
      </c>
      <c r="E97" s="13" t="s">
        <v>628</v>
      </c>
      <c r="F97" s="13" t="s">
        <v>629</v>
      </c>
      <c r="G97" s="13" t="s">
        <v>225</v>
      </c>
      <c r="H97" s="15">
        <v>20</v>
      </c>
      <c r="I97" s="17" t="s">
        <v>727</v>
      </c>
      <c r="J97" s="19">
        <f>IF(H97&gt;0,(H97*VLOOKUP(Lookups!$K$11,Lookups!$M$10:$P$40,4,0)/VLOOKUP(I97,Lookups!$M$10:$P$40,4,0)),"")</f>
        <v>20.624759999999998</v>
      </c>
      <c r="K97" s="15"/>
      <c r="L97" s="17"/>
      <c r="M97" s="19" t="str">
        <f>IF(K97&gt;0,(K97*VLOOKUP(Lookups!$K$11,Lookups!$M$10:$P$40,4,0)/VLOOKUP(L97,Lookups!$M$10:$P$40,4,0)),"")</f>
        <v/>
      </c>
      <c r="N97" s="15"/>
      <c r="O97" s="17"/>
      <c r="P97" s="19" t="str">
        <f>IF(N97&gt;0,(N97*VLOOKUP(Lookups!$K$11,Lookups!$M$10:$P$40,4,0)/VLOOKUP(O97,Lookups!$M$10:$P$40,4,0)),"")</f>
        <v/>
      </c>
      <c r="Q97" s="77" t="s">
        <v>2383</v>
      </c>
      <c r="R97" s="17" t="s">
        <v>621</v>
      </c>
      <c r="S97" s="13" t="s">
        <v>2384</v>
      </c>
      <c r="T97" s="4" t="s">
        <v>1912</v>
      </c>
      <c r="U97" s="110" t="s">
        <v>305</v>
      </c>
    </row>
    <row r="98" spans="1:21" s="40" customFormat="1" ht="60" hidden="1" customHeight="1" outlineLevel="1" x14ac:dyDescent="0.2">
      <c r="A98" s="46" t="s">
        <v>688</v>
      </c>
      <c r="B98" s="46" t="s">
        <v>700</v>
      </c>
      <c r="C98" s="46" t="s">
        <v>322</v>
      </c>
      <c r="D98" s="46" t="s">
        <v>2057</v>
      </c>
      <c r="E98" s="13" t="s">
        <v>628</v>
      </c>
      <c r="F98" s="13" t="s">
        <v>629</v>
      </c>
      <c r="G98" s="13" t="s">
        <v>225</v>
      </c>
      <c r="H98" s="15">
        <v>21</v>
      </c>
      <c r="I98" s="17" t="s">
        <v>727</v>
      </c>
      <c r="J98" s="19">
        <f>IF(H98&gt;0,(H98*VLOOKUP(Lookups!$K$11,Lookups!$M$10:$P$40,4,0)/VLOOKUP(I98,Lookups!$M$10:$P$40,4,0)),"")</f>
        <v>21.655997999999997</v>
      </c>
      <c r="K98" s="15"/>
      <c r="L98" s="17"/>
      <c r="M98" s="19" t="str">
        <f>IF(K98&gt;0,(K98*VLOOKUP(Lookups!$K$11,Lookups!$M$10:$P$40,4,0)/VLOOKUP(L98,Lookups!$M$10:$P$40,4,0)),"")</f>
        <v/>
      </c>
      <c r="N98" s="15"/>
      <c r="O98" s="17"/>
      <c r="P98" s="19" t="str">
        <f>IF(N98&gt;0,(N98*VLOOKUP(Lookups!$K$11,Lookups!$M$10:$P$40,4,0)/VLOOKUP(O98,Lookups!$M$10:$P$40,4,0)),"")</f>
        <v/>
      </c>
      <c r="Q98" s="77" t="s">
        <v>2385</v>
      </c>
      <c r="R98" s="17" t="s">
        <v>621</v>
      </c>
      <c r="S98" s="13" t="s">
        <v>2386</v>
      </c>
      <c r="T98" s="4" t="s">
        <v>1912</v>
      </c>
      <c r="U98" s="110" t="s">
        <v>305</v>
      </c>
    </row>
    <row r="99" spans="1:21" s="40" customFormat="1" ht="60" hidden="1" customHeight="1" outlineLevel="1" x14ac:dyDescent="0.2">
      <c r="A99" s="46" t="s">
        <v>688</v>
      </c>
      <c r="B99" s="46" t="s">
        <v>700</v>
      </c>
      <c r="C99" s="46" t="s">
        <v>323</v>
      </c>
      <c r="D99" s="46" t="s">
        <v>2387</v>
      </c>
      <c r="E99" s="13" t="s">
        <v>628</v>
      </c>
      <c r="F99" s="13" t="s">
        <v>629</v>
      </c>
      <c r="G99" s="13" t="s">
        <v>225</v>
      </c>
      <c r="H99" s="15">
        <v>101</v>
      </c>
      <c r="I99" s="17" t="s">
        <v>727</v>
      </c>
      <c r="J99" s="19">
        <f>IF(H99&gt;0,(H99*VLOOKUP(Lookups!$K$11,Lookups!$M$10:$P$40,4,0)/VLOOKUP(I99,Lookups!$M$10:$P$40,4,0)),"")</f>
        <v>104.15503799999999</v>
      </c>
      <c r="K99" s="15"/>
      <c r="L99" s="17"/>
      <c r="M99" s="19" t="str">
        <f>IF(K99&gt;0,(K99*VLOOKUP(Lookups!$K$11,Lookups!$M$10:$P$40,4,0)/VLOOKUP(L99,Lookups!$M$10:$P$40,4,0)),"")</f>
        <v/>
      </c>
      <c r="N99" s="15"/>
      <c r="O99" s="17"/>
      <c r="P99" s="19" t="str">
        <f>IF(N99&gt;0,(N99*VLOOKUP(Lookups!$K$11,Lookups!$M$10:$P$40,4,0)/VLOOKUP(O99,Lookups!$M$10:$P$40,4,0)),"")</f>
        <v/>
      </c>
      <c r="Q99" s="77" t="s">
        <v>2388</v>
      </c>
      <c r="R99" s="17" t="s">
        <v>621</v>
      </c>
      <c r="S99" s="13" t="s">
        <v>2389</v>
      </c>
      <c r="T99" s="4" t="s">
        <v>1912</v>
      </c>
      <c r="U99" s="110" t="s">
        <v>305</v>
      </c>
    </row>
    <row r="100" spans="1:21" s="40" customFormat="1" ht="60" hidden="1" customHeight="1" outlineLevel="1" x14ac:dyDescent="0.2">
      <c r="A100" s="46" t="s">
        <v>688</v>
      </c>
      <c r="B100" s="46" t="s">
        <v>700</v>
      </c>
      <c r="C100" s="46" t="s">
        <v>324</v>
      </c>
      <c r="D100" s="46" t="s">
        <v>2390</v>
      </c>
      <c r="E100" s="13" t="s">
        <v>628</v>
      </c>
      <c r="F100" s="13" t="s">
        <v>629</v>
      </c>
      <c r="G100" s="13" t="s">
        <v>225</v>
      </c>
      <c r="H100" s="15">
        <v>102</v>
      </c>
      <c r="I100" s="17" t="s">
        <v>727</v>
      </c>
      <c r="J100" s="19">
        <f>IF(H100&gt;0,(H100*VLOOKUP(Lookups!$K$11,Lookups!$M$10:$P$40,4,0)/VLOOKUP(I100,Lookups!$M$10:$P$40,4,0)),"")</f>
        <v>105.18627599999998</v>
      </c>
      <c r="K100" s="15"/>
      <c r="L100" s="17"/>
      <c r="M100" s="19" t="str">
        <f>IF(K100&gt;0,(K100*VLOOKUP(Lookups!$K$11,Lookups!$M$10:$P$40,4,0)/VLOOKUP(L100,Lookups!$M$10:$P$40,4,0)),"")</f>
        <v/>
      </c>
      <c r="N100" s="15"/>
      <c r="O100" s="17"/>
      <c r="P100" s="19" t="str">
        <f>IF(N100&gt;0,(N100*VLOOKUP(Lookups!$K$11,Lookups!$M$10:$P$40,4,0)/VLOOKUP(O100,Lookups!$M$10:$P$40,4,0)),"")</f>
        <v/>
      </c>
      <c r="Q100" s="77" t="s">
        <v>2391</v>
      </c>
      <c r="R100" s="17" t="s">
        <v>621</v>
      </c>
      <c r="S100" s="13" t="s">
        <v>2392</v>
      </c>
      <c r="T100" s="4" t="s">
        <v>1912</v>
      </c>
      <c r="U100" s="110" t="s">
        <v>305</v>
      </c>
    </row>
    <row r="101" spans="1:21" s="40" customFormat="1" ht="60" hidden="1" customHeight="1" outlineLevel="1" x14ac:dyDescent="0.2">
      <c r="A101" s="46" t="s">
        <v>688</v>
      </c>
      <c r="B101" s="46" t="s">
        <v>700</v>
      </c>
      <c r="C101" s="46" t="s">
        <v>325</v>
      </c>
      <c r="D101" s="46" t="s">
        <v>2393</v>
      </c>
      <c r="E101" s="13" t="s">
        <v>628</v>
      </c>
      <c r="F101" s="13" t="s">
        <v>629</v>
      </c>
      <c r="G101" s="13" t="s">
        <v>225</v>
      </c>
      <c r="H101" s="15">
        <v>103</v>
      </c>
      <c r="I101" s="17" t="s">
        <v>727</v>
      </c>
      <c r="J101" s="19">
        <f>IF(H101&gt;0,(H101*VLOOKUP(Lookups!$K$11,Lookups!$M$10:$P$40,4,0)/VLOOKUP(I101,Lookups!$M$10:$P$40,4,0)),"")</f>
        <v>106.21751399999999</v>
      </c>
      <c r="K101" s="15"/>
      <c r="L101" s="17"/>
      <c r="M101" s="19" t="str">
        <f>IF(K101&gt;0,(K101*VLOOKUP(Lookups!$K$11,Lookups!$M$10:$P$40,4,0)/VLOOKUP(L101,Lookups!$M$10:$P$40,4,0)),"")</f>
        <v/>
      </c>
      <c r="N101" s="15"/>
      <c r="O101" s="17"/>
      <c r="P101" s="19" t="str">
        <f>IF(N101&gt;0,(N101*VLOOKUP(Lookups!$K$11,Lookups!$M$10:$P$40,4,0)/VLOOKUP(O101,Lookups!$M$10:$P$40,4,0)),"")</f>
        <v/>
      </c>
      <c r="Q101" s="77" t="s">
        <v>2394</v>
      </c>
      <c r="R101" s="17" t="s">
        <v>621</v>
      </c>
      <c r="S101" s="13" t="s">
        <v>2395</v>
      </c>
      <c r="T101" s="4" t="s">
        <v>1912</v>
      </c>
      <c r="U101" s="110" t="s">
        <v>305</v>
      </c>
    </row>
    <row r="102" spans="1:21" s="58" customFormat="1" ht="60" hidden="1" customHeight="1" outlineLevel="1" x14ac:dyDescent="0.2">
      <c r="A102" s="46" t="s">
        <v>688</v>
      </c>
      <c r="B102" s="46" t="s">
        <v>700</v>
      </c>
      <c r="C102" s="46" t="s">
        <v>326</v>
      </c>
      <c r="D102" s="46" t="s">
        <v>769</v>
      </c>
      <c r="E102" s="13" t="s">
        <v>628</v>
      </c>
      <c r="F102" s="13" t="s">
        <v>629</v>
      </c>
      <c r="G102" s="13" t="s">
        <v>225</v>
      </c>
      <c r="H102" s="15">
        <v>35</v>
      </c>
      <c r="I102" s="17" t="s">
        <v>727</v>
      </c>
      <c r="J102" s="19">
        <f>IF(H102&gt;0,(H102*VLOOKUP(Lookups!$K$11,Lookups!$M$10:$P$40,4,0)/VLOOKUP(I102,Lookups!$M$10:$P$40,4,0)),"")</f>
        <v>36.093329999999995</v>
      </c>
      <c r="K102" s="15"/>
      <c r="L102" s="17"/>
      <c r="M102" s="19" t="str">
        <f>IF(K102&gt;0,(K102*VLOOKUP(Lookups!$K$11,Lookups!$M$10:$P$40,4,0)/VLOOKUP(L102,Lookups!$M$10:$P$40,4,0)),"")</f>
        <v/>
      </c>
      <c r="N102" s="15"/>
      <c r="O102" s="17"/>
      <c r="P102" s="19" t="str">
        <f>IF(N102&gt;0,(N102*VLOOKUP(Lookups!$K$11,Lookups!$M$10:$P$40,4,0)/VLOOKUP(O102,Lookups!$M$10:$P$40,4,0)),"")</f>
        <v/>
      </c>
      <c r="Q102" s="77" t="s">
        <v>2465</v>
      </c>
      <c r="R102" s="17" t="s">
        <v>621</v>
      </c>
      <c r="S102" s="13" t="s">
        <v>2466</v>
      </c>
      <c r="T102" s="4" t="s">
        <v>1912</v>
      </c>
      <c r="U102" s="110" t="s">
        <v>305</v>
      </c>
    </row>
    <row r="103" spans="1:21" s="40" customFormat="1" ht="60" hidden="1" customHeight="1" outlineLevel="1" x14ac:dyDescent="0.2">
      <c r="A103" s="46" t="s">
        <v>688</v>
      </c>
      <c r="B103" s="46" t="s">
        <v>700</v>
      </c>
      <c r="C103" s="46" t="s">
        <v>327</v>
      </c>
      <c r="D103" s="46" t="s">
        <v>766</v>
      </c>
      <c r="E103" s="13" t="s">
        <v>628</v>
      </c>
      <c r="F103" s="13" t="s">
        <v>629</v>
      </c>
      <c r="G103" s="13" t="s">
        <v>225</v>
      </c>
      <c r="H103" s="15">
        <v>42</v>
      </c>
      <c r="I103" s="17" t="s">
        <v>727</v>
      </c>
      <c r="J103" s="19">
        <f>IF(H103&gt;0,(H103*VLOOKUP(Lookups!$K$11,Lookups!$M$10:$P$40,4,0)/VLOOKUP(I103,Lookups!$M$10:$P$40,4,0)),"")</f>
        <v>43.311995999999994</v>
      </c>
      <c r="K103" s="15"/>
      <c r="L103" s="17"/>
      <c r="M103" s="19" t="str">
        <f>IF(K103&gt;0,(K103*VLOOKUP(Lookups!$K$11,Lookups!$M$10:$P$40,4,0)/VLOOKUP(L103,Lookups!$M$10:$P$40,4,0)),"")</f>
        <v/>
      </c>
      <c r="N103" s="15"/>
      <c r="O103" s="17"/>
      <c r="P103" s="19" t="str">
        <f>IF(N103&gt;0,(N103*VLOOKUP(Lookups!$K$11,Lookups!$M$10:$P$40,4,0)/VLOOKUP(O103,Lookups!$M$10:$P$40,4,0)),"")</f>
        <v/>
      </c>
      <c r="Q103" s="77" t="s">
        <v>2461</v>
      </c>
      <c r="R103" s="17" t="s">
        <v>621</v>
      </c>
      <c r="S103" s="13" t="s">
        <v>2462</v>
      </c>
      <c r="T103" s="4" t="s">
        <v>1912</v>
      </c>
      <c r="U103" s="110" t="s">
        <v>305</v>
      </c>
    </row>
    <row r="104" spans="1:21" s="61" customFormat="1" ht="60" hidden="1" customHeight="1" outlineLevel="1" x14ac:dyDescent="0.2">
      <c r="A104" s="46" t="s">
        <v>688</v>
      </c>
      <c r="B104" s="46" t="s">
        <v>700</v>
      </c>
      <c r="C104" s="46" t="s">
        <v>328</v>
      </c>
      <c r="D104" s="46" t="s">
        <v>767</v>
      </c>
      <c r="E104" s="13" t="s">
        <v>628</v>
      </c>
      <c r="F104" s="13" t="s">
        <v>629</v>
      </c>
      <c r="G104" s="13" t="s">
        <v>225</v>
      </c>
      <c r="H104" s="15">
        <v>33</v>
      </c>
      <c r="I104" s="17" t="s">
        <v>727</v>
      </c>
      <c r="J104" s="19">
        <f>IF(H104&gt;0,(H104*VLOOKUP(Lookups!$K$11,Lookups!$M$10:$P$40,4,0)/VLOOKUP(I104,Lookups!$M$10:$P$40,4,0)),"")</f>
        <v>34.030853999999991</v>
      </c>
      <c r="K104" s="15"/>
      <c r="L104" s="17"/>
      <c r="M104" s="19" t="str">
        <f>IF(K104&gt;0,(K104*VLOOKUP(Lookups!$K$11,Lookups!$M$10:$P$40,4,0)/VLOOKUP(L104,Lookups!$M$10:$P$40,4,0)),"")</f>
        <v/>
      </c>
      <c r="N104" s="15"/>
      <c r="O104" s="17"/>
      <c r="P104" s="19" t="str">
        <f>IF(N104&gt;0,(N104*VLOOKUP(Lookups!$K$11,Lookups!$M$10:$P$40,4,0)/VLOOKUP(O104,Lookups!$M$10:$P$40,4,0)),"")</f>
        <v/>
      </c>
      <c r="Q104" s="77" t="s">
        <v>2463</v>
      </c>
      <c r="R104" s="17" t="s">
        <v>621</v>
      </c>
      <c r="S104" s="13" t="s">
        <v>2464</v>
      </c>
      <c r="T104" s="4" t="s">
        <v>1912</v>
      </c>
      <c r="U104" s="110" t="s">
        <v>305</v>
      </c>
    </row>
    <row r="105" spans="1:21" s="40" customFormat="1" ht="60" hidden="1" customHeight="1" outlineLevel="1" x14ac:dyDescent="0.2">
      <c r="A105" s="46" t="s">
        <v>688</v>
      </c>
      <c r="B105" s="46" t="s">
        <v>700</v>
      </c>
      <c r="C105" s="46" t="s">
        <v>329</v>
      </c>
      <c r="D105" s="46" t="s">
        <v>768</v>
      </c>
      <c r="E105" s="13" t="s">
        <v>1428</v>
      </c>
      <c r="F105" s="13" t="s">
        <v>629</v>
      </c>
      <c r="G105" s="13" t="s">
        <v>225</v>
      </c>
      <c r="H105" s="15">
        <v>57</v>
      </c>
      <c r="I105" s="17" t="s">
        <v>727</v>
      </c>
      <c r="J105" s="19">
        <f>IF(H105&gt;0,(H105*VLOOKUP(Lookups!$K$11,Lookups!$M$10:$P$40,4,0)/VLOOKUP(I105,Lookups!$M$10:$P$40,4,0)),"")</f>
        <v>58.780565999999986</v>
      </c>
      <c r="K105" s="15"/>
      <c r="L105" s="17"/>
      <c r="M105" s="19" t="str">
        <f>IF(K105&gt;0,(K105*VLOOKUP(Lookups!$K$11,Lookups!$M$10:$P$40,4,0)/VLOOKUP(L105,Lookups!$M$10:$P$40,4,0)),"")</f>
        <v/>
      </c>
      <c r="N105" s="15"/>
      <c r="O105" s="17"/>
      <c r="P105" s="19" t="str">
        <f>IF(N105&gt;0,(N105*VLOOKUP(Lookups!$K$11,Lookups!$M$10:$P$40,4,0)/VLOOKUP(O105,Lookups!$M$10:$P$40,4,0)),"")</f>
        <v/>
      </c>
      <c r="Q105" s="78" t="s">
        <v>222</v>
      </c>
      <c r="R105" s="17" t="s">
        <v>621</v>
      </c>
      <c r="S105" s="13" t="s">
        <v>179</v>
      </c>
      <c r="T105" s="13" t="s">
        <v>1912</v>
      </c>
      <c r="U105" s="13" t="s">
        <v>277</v>
      </c>
    </row>
    <row r="106" spans="1:21" s="40" customFormat="1" ht="60" hidden="1" customHeight="1" outlineLevel="1" x14ac:dyDescent="0.2">
      <c r="A106" s="46" t="s">
        <v>688</v>
      </c>
      <c r="B106" s="46" t="s">
        <v>700</v>
      </c>
      <c r="C106" s="46" t="s">
        <v>330</v>
      </c>
      <c r="D106" s="46" t="s">
        <v>763</v>
      </c>
      <c r="E106" s="13" t="s">
        <v>628</v>
      </c>
      <c r="F106" s="13" t="s">
        <v>629</v>
      </c>
      <c r="G106" s="13" t="s">
        <v>225</v>
      </c>
      <c r="H106" s="15">
        <v>33</v>
      </c>
      <c r="I106" s="17" t="s">
        <v>727</v>
      </c>
      <c r="J106" s="19">
        <f>IF(H106&gt;0,(H106*VLOOKUP(Lookups!$K$11,Lookups!$M$10:$P$40,4,0)/VLOOKUP(I106,Lookups!$M$10:$P$40,4,0)),"")</f>
        <v>34.030853999999991</v>
      </c>
      <c r="K106" s="15"/>
      <c r="L106" s="17"/>
      <c r="M106" s="19" t="str">
        <f>IF(K106&gt;0,(K106*VLOOKUP(Lookups!$K$11,Lookups!$M$10:$P$40,4,0)/VLOOKUP(L106,Lookups!$M$10:$P$40,4,0)),"")</f>
        <v/>
      </c>
      <c r="N106" s="15"/>
      <c r="O106" s="17"/>
      <c r="P106" s="19" t="str">
        <f>IF(N106&gt;0,(N106*VLOOKUP(Lookups!$K$11,Lookups!$M$10:$P$40,4,0)/VLOOKUP(O106,Lookups!$M$10:$P$40,4,0)),"")</f>
        <v/>
      </c>
      <c r="Q106" s="77" t="s">
        <v>2408</v>
      </c>
      <c r="R106" s="17" t="s">
        <v>621</v>
      </c>
      <c r="S106" s="13" t="s">
        <v>2458</v>
      </c>
      <c r="T106" s="4" t="s">
        <v>1912</v>
      </c>
      <c r="U106" s="110" t="s">
        <v>305</v>
      </c>
    </row>
    <row r="107" spans="1:21" s="40" customFormat="1" ht="60" hidden="1" customHeight="1" outlineLevel="1" x14ac:dyDescent="0.2">
      <c r="A107" s="46" t="s">
        <v>688</v>
      </c>
      <c r="B107" s="46" t="s">
        <v>700</v>
      </c>
      <c r="C107" s="46" t="s">
        <v>331</v>
      </c>
      <c r="D107" s="46" t="s">
        <v>457</v>
      </c>
      <c r="E107" s="13" t="s">
        <v>1428</v>
      </c>
      <c r="F107" s="13" t="s">
        <v>629</v>
      </c>
      <c r="G107" s="13" t="s">
        <v>225</v>
      </c>
      <c r="H107" s="15">
        <v>64</v>
      </c>
      <c r="I107" s="17" t="s">
        <v>727</v>
      </c>
      <c r="J107" s="19">
        <f>IF(H107&gt;0,(H107*VLOOKUP(Lookups!$K$11,Lookups!$M$10:$P$40,4,0)/VLOOKUP(I107,Lookups!$M$10:$P$40,4,0)),"")</f>
        <v>65.999231999999992</v>
      </c>
      <c r="K107" s="15"/>
      <c r="L107" s="17"/>
      <c r="M107" s="19" t="str">
        <f>IF(K107&gt;0,(K107*VLOOKUP(Lookups!$K$11,Lookups!$M$10:$P$40,4,0)/VLOOKUP(L107,Lookups!$M$10:$P$40,4,0)),"")</f>
        <v/>
      </c>
      <c r="N107" s="15"/>
      <c r="O107" s="17"/>
      <c r="P107" s="19" t="str">
        <f>IF(N107&gt;0,(N107*VLOOKUP(Lookups!$K$11,Lookups!$M$10:$P$40,4,0)/VLOOKUP(O107,Lookups!$M$10:$P$40,4,0)),"")</f>
        <v/>
      </c>
      <c r="Q107" s="78" t="s">
        <v>456</v>
      </c>
      <c r="R107" s="17" t="s">
        <v>621</v>
      </c>
      <c r="S107" s="13" t="s">
        <v>459</v>
      </c>
      <c r="T107" s="13" t="s">
        <v>1912</v>
      </c>
      <c r="U107" s="13" t="s">
        <v>277</v>
      </c>
    </row>
    <row r="108" spans="1:21" s="40" customFormat="1" ht="60" hidden="1" customHeight="1" outlineLevel="1" x14ac:dyDescent="0.2">
      <c r="A108" s="46" t="s">
        <v>688</v>
      </c>
      <c r="B108" s="46" t="s">
        <v>700</v>
      </c>
      <c r="C108" s="46" t="s">
        <v>332</v>
      </c>
      <c r="D108" s="46" t="s">
        <v>765</v>
      </c>
      <c r="E108" s="13" t="s">
        <v>628</v>
      </c>
      <c r="F108" s="13" t="s">
        <v>629</v>
      </c>
      <c r="G108" s="13" t="s">
        <v>225</v>
      </c>
      <c r="H108" s="15">
        <v>33</v>
      </c>
      <c r="I108" s="17" t="s">
        <v>727</v>
      </c>
      <c r="J108" s="19">
        <f>IF(H108&gt;0,(H108*VLOOKUP(Lookups!$K$11,Lookups!$M$10:$P$40,4,0)/VLOOKUP(I108,Lookups!$M$10:$P$40,4,0)),"")</f>
        <v>34.030853999999991</v>
      </c>
      <c r="K108" s="15"/>
      <c r="L108" s="17"/>
      <c r="M108" s="19" t="str">
        <f>IF(K108&gt;0,(K108*VLOOKUP(Lookups!$K$11,Lookups!$M$10:$P$40,4,0)/VLOOKUP(L108,Lookups!$M$10:$P$40,4,0)),"")</f>
        <v/>
      </c>
      <c r="N108" s="15"/>
      <c r="O108" s="17"/>
      <c r="P108" s="19" t="str">
        <f>IF(N108&gt;0,(N108*VLOOKUP(Lookups!$K$11,Lookups!$M$10:$P$40,4,0)/VLOOKUP(O108,Lookups!$M$10:$P$40,4,0)),"")</f>
        <v/>
      </c>
      <c r="Q108" s="77" t="s">
        <v>2459</v>
      </c>
      <c r="R108" s="17" t="s">
        <v>621</v>
      </c>
      <c r="S108" s="13" t="s">
        <v>2460</v>
      </c>
      <c r="T108" s="4" t="s">
        <v>1912</v>
      </c>
      <c r="U108" s="110" t="s">
        <v>305</v>
      </c>
    </row>
    <row r="109" spans="1:21" s="40" customFormat="1" ht="60" hidden="1" customHeight="1" outlineLevel="1" x14ac:dyDescent="0.2">
      <c r="A109" s="46" t="s">
        <v>688</v>
      </c>
      <c r="B109" s="46" t="s">
        <v>700</v>
      </c>
      <c r="C109" s="46" t="s">
        <v>333</v>
      </c>
      <c r="D109" s="46" t="s">
        <v>764</v>
      </c>
      <c r="E109" s="13" t="s">
        <v>1428</v>
      </c>
      <c r="F109" s="13" t="s">
        <v>629</v>
      </c>
      <c r="G109" s="13" t="s">
        <v>225</v>
      </c>
      <c r="H109" s="15">
        <v>82</v>
      </c>
      <c r="I109" s="17" t="s">
        <v>727</v>
      </c>
      <c r="J109" s="19">
        <f>IF(H109&gt;0,(H109*VLOOKUP(Lookups!$K$11,Lookups!$M$10:$P$40,4,0)/VLOOKUP(I109,Lookups!$M$10:$P$40,4,0)),"")</f>
        <v>84.561515999999983</v>
      </c>
      <c r="K109" s="15"/>
      <c r="L109" s="17"/>
      <c r="M109" s="19" t="str">
        <f>IF(K109&gt;0,(K109*VLOOKUP(Lookups!$K$11,Lookups!$M$10:$P$40,4,0)/VLOOKUP(L109,Lookups!$M$10:$P$40,4,0)),"")</f>
        <v/>
      </c>
      <c r="N109" s="15"/>
      <c r="O109" s="17"/>
      <c r="P109" s="19" t="str">
        <f>IF(N109&gt;0,(N109*VLOOKUP(Lookups!$K$11,Lookups!$M$10:$P$40,4,0)/VLOOKUP(O109,Lookups!$M$10:$P$40,4,0)),"")</f>
        <v/>
      </c>
      <c r="Q109" s="78" t="s">
        <v>458</v>
      </c>
      <c r="R109" s="17" t="s">
        <v>621</v>
      </c>
      <c r="S109" s="13" t="s">
        <v>221</v>
      </c>
      <c r="T109" s="13" t="s">
        <v>1912</v>
      </c>
      <c r="U109" s="13" t="s">
        <v>277</v>
      </c>
    </row>
    <row r="110" spans="1:21" s="40" customFormat="1" ht="60" hidden="1" customHeight="1" outlineLevel="1" x14ac:dyDescent="0.2">
      <c r="A110" s="46" t="s">
        <v>688</v>
      </c>
      <c r="B110" s="46" t="s">
        <v>700</v>
      </c>
      <c r="C110" s="46" t="s">
        <v>334</v>
      </c>
      <c r="D110" s="46" t="s">
        <v>212</v>
      </c>
      <c r="E110" s="13" t="s">
        <v>628</v>
      </c>
      <c r="F110" s="13" t="s">
        <v>629</v>
      </c>
      <c r="G110" s="13" t="s">
        <v>225</v>
      </c>
      <c r="H110" s="15">
        <v>33</v>
      </c>
      <c r="I110" s="17" t="s">
        <v>727</v>
      </c>
      <c r="J110" s="19">
        <f>IF(H110&gt;0,(H110*VLOOKUP(Lookups!$K$11,Lookups!$M$10:$P$40,4,0)/VLOOKUP(I110,Lookups!$M$10:$P$40,4,0)),"")</f>
        <v>34.030853999999991</v>
      </c>
      <c r="K110" s="15"/>
      <c r="L110" s="17"/>
      <c r="M110" s="19" t="str">
        <f>IF(K110&gt;0,(K110*VLOOKUP(Lookups!$K$11,Lookups!$M$10:$P$40,4,0)/VLOOKUP(L110,Lookups!$M$10:$P$40,4,0)),"")</f>
        <v/>
      </c>
      <c r="N110" s="15"/>
      <c r="O110" s="17"/>
      <c r="P110" s="19" t="str">
        <f>IF(N110&gt;0,(N110*VLOOKUP(Lookups!$K$11,Lookups!$M$10:$P$40,4,0)/VLOOKUP(O110,Lookups!$M$10:$P$40,4,0)),"")</f>
        <v/>
      </c>
      <c r="Q110" s="77" t="s">
        <v>2407</v>
      </c>
      <c r="R110" s="17" t="s">
        <v>621</v>
      </c>
      <c r="S110" s="13" t="s">
        <v>2406</v>
      </c>
      <c r="T110" s="4" t="s">
        <v>1912</v>
      </c>
      <c r="U110" s="110" t="s">
        <v>305</v>
      </c>
    </row>
    <row r="111" spans="1:21" s="40" customFormat="1" ht="60" customHeight="1" collapsed="1" x14ac:dyDescent="0.2">
      <c r="A111" s="42" t="s">
        <v>688</v>
      </c>
      <c r="B111" s="42" t="s">
        <v>699</v>
      </c>
      <c r="C111" s="42" t="s">
        <v>1983</v>
      </c>
      <c r="D111" s="42" t="s">
        <v>1805</v>
      </c>
      <c r="E111" s="13" t="s">
        <v>1342</v>
      </c>
      <c r="F111" s="13" t="s">
        <v>629</v>
      </c>
      <c r="G111" s="4" t="s">
        <v>1384</v>
      </c>
      <c r="H111" s="15">
        <v>830</v>
      </c>
      <c r="I111" s="17" t="s">
        <v>661</v>
      </c>
      <c r="J111" s="19">
        <f>IF(H111&gt;0,(H111*VLOOKUP(Lookups!$K$11,Lookups!$M$10:$P$40,4,0)/VLOOKUP(I111,Lookups!$M$10:$P$40,4,0)),"")</f>
        <v>977.07348402765069</v>
      </c>
      <c r="K111" s="15">
        <v>3841</v>
      </c>
      <c r="L111" s="17" t="s">
        <v>661</v>
      </c>
      <c r="M111" s="19">
        <f>IF(K111&gt;0,(K111*VLOOKUP(Lookups!$K$11,Lookups!$M$10:$P$40,4,0)/VLOOKUP(L111,Lookups!$M$10:$P$40,4,0)),"")</f>
        <v>4521.6135568074769</v>
      </c>
      <c r="N111" s="15"/>
      <c r="O111" s="17"/>
      <c r="P111" s="19" t="str">
        <f>IF(N111&gt;0,(N111*VLOOKUP(Lookups!$K$11,Lookups!$M$10:$P$40,4,0)/VLOOKUP(O111,Lookups!$M$10:$P$40,4,0)),"")</f>
        <v/>
      </c>
      <c r="Q111" s="77" t="s">
        <v>777</v>
      </c>
      <c r="R111" s="17" t="s">
        <v>619</v>
      </c>
      <c r="S111" s="13" t="s">
        <v>1925</v>
      </c>
      <c r="T111" s="13" t="s">
        <v>1912</v>
      </c>
      <c r="U111" s="13" t="s">
        <v>378</v>
      </c>
    </row>
    <row r="112" spans="1:21" s="40" customFormat="1" ht="60" hidden="1" customHeight="1" outlineLevel="2" x14ac:dyDescent="0.2">
      <c r="A112" s="13" t="s">
        <v>688</v>
      </c>
      <c r="B112" s="13" t="s">
        <v>699</v>
      </c>
      <c r="C112" s="13" t="s">
        <v>1586</v>
      </c>
      <c r="D112" s="48" t="s">
        <v>778</v>
      </c>
      <c r="E112" s="13" t="s">
        <v>1342</v>
      </c>
      <c r="F112" s="13" t="s">
        <v>629</v>
      </c>
      <c r="G112" s="13" t="s">
        <v>225</v>
      </c>
      <c r="H112" s="15">
        <v>764</v>
      </c>
      <c r="I112" s="17" t="s">
        <v>661</v>
      </c>
      <c r="J112" s="19">
        <f>IF(H112&gt;0,(H112*VLOOKUP(Lookups!$K$11,Lookups!$M$10:$P$40,4,0)/VLOOKUP(I112,Lookups!$M$10:$P$40,4,0)),"")</f>
        <v>899.37848409292178</v>
      </c>
      <c r="K112" s="15"/>
      <c r="L112" s="17"/>
      <c r="M112" s="19" t="str">
        <f>IF(K112&gt;0,(K112*VLOOKUP(Lookups!$K$11,Lookups!$M$10:$P$40,4,0)/VLOOKUP(L112,Lookups!$M$10:$P$40,4,0)),"")</f>
        <v/>
      </c>
      <c r="N112" s="15"/>
      <c r="O112" s="17"/>
      <c r="P112" s="19" t="str">
        <f>IF(N112&gt;0,(N112*VLOOKUP(Lookups!$K$11,Lookups!$M$10:$P$40,4,0)/VLOOKUP(O112,Lookups!$M$10:$P$40,4,0)),"")</f>
        <v/>
      </c>
      <c r="Q112" s="77" t="s">
        <v>780</v>
      </c>
      <c r="R112" s="17" t="s">
        <v>619</v>
      </c>
      <c r="S112" s="13" t="s">
        <v>781</v>
      </c>
      <c r="T112" s="13"/>
      <c r="U112" s="120" t="s">
        <v>2264</v>
      </c>
    </row>
    <row r="113" spans="1:21" s="40" customFormat="1" ht="60" hidden="1" customHeight="1" outlineLevel="2" x14ac:dyDescent="0.2">
      <c r="A113" s="13" t="s">
        <v>688</v>
      </c>
      <c r="B113" s="13" t="s">
        <v>699</v>
      </c>
      <c r="C113" s="13" t="s">
        <v>1587</v>
      </c>
      <c r="D113" s="48" t="s">
        <v>779</v>
      </c>
      <c r="E113" s="13" t="s">
        <v>1342</v>
      </c>
      <c r="F113" s="13" t="s">
        <v>679</v>
      </c>
      <c r="G113" s="4" t="s">
        <v>1347</v>
      </c>
      <c r="H113" s="15">
        <v>66</v>
      </c>
      <c r="I113" s="17" t="s">
        <v>661</v>
      </c>
      <c r="J113" s="19">
        <f>IF(H113&gt;0,(H113*VLOOKUP(Lookups!$K$11,Lookups!$M$10:$P$40,4,0)/VLOOKUP(I113,Lookups!$M$10:$P$40,4,0)),"")</f>
        <v>77.694999934728841</v>
      </c>
      <c r="K113" s="15"/>
      <c r="L113" s="17"/>
      <c r="M113" s="19" t="str">
        <f>IF(K113&gt;0,(K113*VLOOKUP(Lookups!$K$11,Lookups!$M$10:$P$40,4,0)/VLOOKUP(L113,Lookups!$M$10:$P$40,4,0)),"")</f>
        <v/>
      </c>
      <c r="N113" s="15"/>
      <c r="O113" s="17"/>
      <c r="P113" s="19" t="str">
        <f>IF(N113&gt;0,(N113*VLOOKUP(Lookups!$K$11,Lookups!$M$10:$P$40,4,0)/VLOOKUP(O113,Lookups!$M$10:$P$40,4,0)),"")</f>
        <v/>
      </c>
      <c r="Q113" s="77" t="s">
        <v>804</v>
      </c>
      <c r="R113" s="17" t="s">
        <v>619</v>
      </c>
      <c r="S113" s="13" t="s">
        <v>601</v>
      </c>
      <c r="T113" s="13"/>
      <c r="U113" s="120" t="s">
        <v>2264</v>
      </c>
    </row>
    <row r="114" spans="1:21" s="40" customFormat="1" ht="60" hidden="1" customHeight="1" outlineLevel="1" x14ac:dyDescent="0.2">
      <c r="A114" s="46" t="s">
        <v>688</v>
      </c>
      <c r="B114" s="46" t="s">
        <v>699</v>
      </c>
      <c r="C114" s="46" t="s">
        <v>977</v>
      </c>
      <c r="D114" s="46" t="s">
        <v>335</v>
      </c>
      <c r="E114" s="13" t="s">
        <v>1342</v>
      </c>
      <c r="F114" s="13" t="s">
        <v>679</v>
      </c>
      <c r="G114" s="4" t="s">
        <v>629</v>
      </c>
      <c r="H114" s="15">
        <v>1990</v>
      </c>
      <c r="I114" s="17" t="s">
        <v>661</v>
      </c>
      <c r="J114" s="19">
        <f>IF(H114&gt;0,(H114*VLOOKUP(Lookups!$K$11,Lookups!$M$10:$P$40,4,0)/VLOOKUP(I114,Lookups!$M$10:$P$40,4,0)),"")</f>
        <v>2342.6219677289455</v>
      </c>
      <c r="K114" s="15">
        <v>4040</v>
      </c>
      <c r="L114" s="17" t="s">
        <v>661</v>
      </c>
      <c r="M114" s="19">
        <f>IF(K114&gt;0,(K114*VLOOKUP(Lookups!$K$11,Lookups!$M$10:$P$40,4,0)/VLOOKUP(L114,Lookups!$M$10:$P$40,4,0)),"")</f>
        <v>4755.8757535803716</v>
      </c>
      <c r="N114" s="15"/>
      <c r="O114" s="17"/>
      <c r="P114" s="19" t="str">
        <f>IF(N114&gt;0,(N114*VLOOKUP(Lookups!$K$11,Lookups!$M$10:$P$40,4,0)/VLOOKUP(O114,Lookups!$M$10:$P$40,4,0)),"")</f>
        <v/>
      </c>
      <c r="Q114" s="77" t="s">
        <v>805</v>
      </c>
      <c r="R114" s="17" t="s">
        <v>619</v>
      </c>
      <c r="S114" s="13" t="s">
        <v>2050</v>
      </c>
      <c r="T114" s="13" t="s">
        <v>1912</v>
      </c>
      <c r="U114" s="13" t="s">
        <v>378</v>
      </c>
    </row>
    <row r="115" spans="1:21" s="40" customFormat="1" ht="60" hidden="1" customHeight="1" outlineLevel="2" x14ac:dyDescent="0.2">
      <c r="A115" s="13" t="s">
        <v>688</v>
      </c>
      <c r="B115" s="13" t="s">
        <v>699</v>
      </c>
      <c r="C115" s="13" t="s">
        <v>1588</v>
      </c>
      <c r="D115" s="48" t="s">
        <v>807</v>
      </c>
      <c r="E115" s="13" t="s">
        <v>1342</v>
      </c>
      <c r="F115" s="13" t="s">
        <v>679</v>
      </c>
      <c r="G115" s="4" t="s">
        <v>1347</v>
      </c>
      <c r="H115" s="15">
        <v>1126</v>
      </c>
      <c r="I115" s="17" t="s">
        <v>661</v>
      </c>
      <c r="J115" s="19">
        <f>IF(H115&gt;0,(H115*VLOOKUP(Lookups!$K$11,Lookups!$M$10:$P$40,4,0)/VLOOKUP(I115,Lookups!$M$10:$P$40,4,0)),"")</f>
        <v>1325.5237867652224</v>
      </c>
      <c r="K115" s="15"/>
      <c r="L115" s="17"/>
      <c r="M115" s="19" t="str">
        <f>IF(K115&gt;0,(K115*VLOOKUP(Lookups!$K$11,Lookups!$M$10:$P$40,4,0)/VLOOKUP(L115,Lookups!$M$10:$P$40,4,0)),"")</f>
        <v/>
      </c>
      <c r="N115" s="15"/>
      <c r="O115" s="17"/>
      <c r="P115" s="19" t="str">
        <f>IF(N115&gt;0,(N115*VLOOKUP(Lookups!$K$11,Lookups!$M$10:$P$40,4,0)/VLOOKUP(O115,Lookups!$M$10:$P$40,4,0)),"")</f>
        <v/>
      </c>
      <c r="Q115" s="77" t="s">
        <v>805</v>
      </c>
      <c r="R115" s="17" t="s">
        <v>619</v>
      </c>
      <c r="S115" s="13" t="s">
        <v>958</v>
      </c>
      <c r="T115" s="13"/>
      <c r="U115" s="120" t="s">
        <v>2264</v>
      </c>
    </row>
    <row r="116" spans="1:21" s="40" customFormat="1" ht="60" hidden="1" customHeight="1" outlineLevel="2" x14ac:dyDescent="0.2">
      <c r="A116" s="13" t="s">
        <v>688</v>
      </c>
      <c r="B116" s="13" t="s">
        <v>699</v>
      </c>
      <c r="C116" s="13" t="s">
        <v>1589</v>
      </c>
      <c r="D116" s="48" t="s">
        <v>806</v>
      </c>
      <c r="E116" s="13" t="s">
        <v>1342</v>
      </c>
      <c r="F116" s="13" t="s">
        <v>629</v>
      </c>
      <c r="G116" s="13" t="s">
        <v>225</v>
      </c>
      <c r="H116" s="15">
        <v>850</v>
      </c>
      <c r="I116" s="17" t="s">
        <v>661</v>
      </c>
      <c r="J116" s="19">
        <f>IF(H116&gt;0,(H116*VLOOKUP(Lookups!$K$11,Lookups!$M$10:$P$40,4,0)/VLOOKUP(I116,Lookups!$M$10:$P$40,4,0)),"")</f>
        <v>1000.6174234018108</v>
      </c>
      <c r="K116" s="15"/>
      <c r="L116" s="17"/>
      <c r="M116" s="19" t="str">
        <f>IF(K116&gt;0,(K116*VLOOKUP(Lookups!$K$11,Lookups!$M$10:$P$40,4,0)/VLOOKUP(L116,Lookups!$M$10:$P$40,4,0)),"")</f>
        <v/>
      </c>
      <c r="N116" s="15"/>
      <c r="O116" s="17"/>
      <c r="P116" s="19" t="str">
        <f>IF(N116&gt;0,(N116*VLOOKUP(Lookups!$K$11,Lookups!$M$10:$P$40,4,0)/VLOOKUP(O116,Lookups!$M$10:$P$40,4,0)),"")</f>
        <v/>
      </c>
      <c r="Q116" s="77" t="s">
        <v>805</v>
      </c>
      <c r="R116" s="17" t="s">
        <v>619</v>
      </c>
      <c r="S116" s="13" t="s">
        <v>603</v>
      </c>
      <c r="T116" s="13"/>
      <c r="U116" s="120" t="s">
        <v>2264</v>
      </c>
    </row>
    <row r="117" spans="1:21" s="40" customFormat="1" ht="60" hidden="1" customHeight="1" outlineLevel="2" x14ac:dyDescent="0.2">
      <c r="A117" s="13" t="s">
        <v>688</v>
      </c>
      <c r="B117" s="13" t="s">
        <v>699</v>
      </c>
      <c r="C117" s="13" t="s">
        <v>1590</v>
      </c>
      <c r="D117" s="48" t="s">
        <v>810</v>
      </c>
      <c r="E117" s="13" t="s">
        <v>1342</v>
      </c>
      <c r="F117" s="13" t="s">
        <v>614</v>
      </c>
      <c r="G117" s="4" t="s">
        <v>669</v>
      </c>
      <c r="H117" s="15">
        <v>14</v>
      </c>
      <c r="I117" s="17" t="s">
        <v>661</v>
      </c>
      <c r="J117" s="19">
        <f>IF(H117&gt;0,(H117*VLOOKUP(Lookups!$K$11,Lookups!$M$10:$P$40,4,0)/VLOOKUP(I117,Lookups!$M$10:$P$40,4,0)),"")</f>
        <v>16.480757561912178</v>
      </c>
      <c r="K117" s="15"/>
      <c r="L117" s="17"/>
      <c r="M117" s="19" t="str">
        <f>IF(K117&gt;0,(K117*VLOOKUP(Lookups!$K$11,Lookups!$M$10:$P$40,4,0)/VLOOKUP(L117,Lookups!$M$10:$P$40,4,0)),"")</f>
        <v/>
      </c>
      <c r="N117" s="15"/>
      <c r="O117" s="17"/>
      <c r="P117" s="19" t="str">
        <f>IF(N117&gt;0,(N117*VLOOKUP(Lookups!$K$11,Lookups!$M$10:$P$40,4,0)/VLOOKUP(O117,Lookups!$M$10:$P$40,4,0)),"")</f>
        <v/>
      </c>
      <c r="Q117" s="77" t="s">
        <v>805</v>
      </c>
      <c r="R117" s="17" t="s">
        <v>619</v>
      </c>
      <c r="S117" s="13" t="s">
        <v>604</v>
      </c>
      <c r="T117" s="13"/>
      <c r="U117" s="120" t="s">
        <v>2264</v>
      </c>
    </row>
    <row r="118" spans="1:21" s="40" customFormat="1" ht="60" hidden="1" customHeight="1" outlineLevel="1" x14ac:dyDescent="0.2">
      <c r="A118" s="46" t="s">
        <v>688</v>
      </c>
      <c r="B118" s="46" t="s">
        <v>699</v>
      </c>
      <c r="C118" s="46" t="s">
        <v>1955</v>
      </c>
      <c r="D118" s="46" t="s">
        <v>336</v>
      </c>
      <c r="E118" s="13" t="s">
        <v>1342</v>
      </c>
      <c r="F118" s="13" t="s">
        <v>629</v>
      </c>
      <c r="G118" s="4" t="s">
        <v>1384</v>
      </c>
      <c r="H118" s="15">
        <v>870</v>
      </c>
      <c r="I118" s="17" t="s">
        <v>661</v>
      </c>
      <c r="J118" s="19">
        <f>IF(H118&gt;0,(H118*VLOOKUP(Lookups!$K$11,Lookups!$M$10:$P$40,4,0)/VLOOKUP(I118,Lookups!$M$10:$P$40,4,0)),"")</f>
        <v>1024.1613627759709</v>
      </c>
      <c r="K118" s="15">
        <v>3637</v>
      </c>
      <c r="L118" s="17" t="s">
        <v>661</v>
      </c>
      <c r="M118" s="19">
        <f>IF(K118&gt;0,(K118*VLOOKUP(Lookups!$K$11,Lookups!$M$10:$P$40,4,0)/VLOOKUP(L118,Lookups!$M$10:$P$40,4,0)),"")</f>
        <v>4281.4653751910419</v>
      </c>
      <c r="N118" s="15"/>
      <c r="O118" s="17"/>
      <c r="P118" s="19" t="str">
        <f>IF(N118&gt;0,(N118*VLOOKUP(Lookups!$K$11,Lookups!$M$10:$P$40,4,0)/VLOOKUP(O118,Lookups!$M$10:$P$40,4,0)),"")</f>
        <v/>
      </c>
      <c r="Q118" s="77" t="s">
        <v>812</v>
      </c>
      <c r="R118" s="17" t="s">
        <v>619</v>
      </c>
      <c r="S118" s="13" t="s">
        <v>2051</v>
      </c>
      <c r="T118" s="13" t="s">
        <v>1912</v>
      </c>
      <c r="U118" s="13" t="s">
        <v>378</v>
      </c>
    </row>
    <row r="119" spans="1:21" s="40" customFormat="1" ht="60" hidden="1" customHeight="1" outlineLevel="2" x14ac:dyDescent="0.2">
      <c r="A119" s="13" t="s">
        <v>688</v>
      </c>
      <c r="B119" s="13" t="s">
        <v>699</v>
      </c>
      <c r="C119" s="13" t="s">
        <v>1591</v>
      </c>
      <c r="D119" s="48" t="s">
        <v>808</v>
      </c>
      <c r="E119" s="13" t="s">
        <v>1342</v>
      </c>
      <c r="F119" s="13" t="s">
        <v>629</v>
      </c>
      <c r="G119" s="13" t="s">
        <v>225</v>
      </c>
      <c r="H119" s="15">
        <v>757</v>
      </c>
      <c r="I119" s="17" t="s">
        <v>661</v>
      </c>
      <c r="J119" s="19">
        <f>IF(H119&gt;0,(H119*VLOOKUP(Lookups!$K$11,Lookups!$M$10:$P$40,4,0)/VLOOKUP(I119,Lookups!$M$10:$P$40,4,0)),"")</f>
        <v>891.13810531196555</v>
      </c>
      <c r="K119" s="15"/>
      <c r="L119" s="17"/>
      <c r="M119" s="19" t="str">
        <f>IF(K119&gt;0,(K119*VLOOKUP(Lookups!$K$11,Lookups!$M$10:$P$40,4,0)/VLOOKUP(L119,Lookups!$M$10:$P$40,4,0)),"")</f>
        <v/>
      </c>
      <c r="N119" s="15"/>
      <c r="O119" s="17"/>
      <c r="P119" s="19" t="str">
        <f>IF(N119&gt;0,(N119*VLOOKUP(Lookups!$K$11,Lookups!$M$10:$P$40,4,0)/VLOOKUP(O119,Lookups!$M$10:$P$40,4,0)),"")</f>
        <v/>
      </c>
      <c r="Q119" s="77" t="s">
        <v>812</v>
      </c>
      <c r="R119" s="17" t="s">
        <v>619</v>
      </c>
      <c r="S119" s="13" t="s">
        <v>1063</v>
      </c>
      <c r="T119" s="13"/>
      <c r="U119" s="120" t="s">
        <v>2264</v>
      </c>
    </row>
    <row r="120" spans="1:21" s="40" customFormat="1" ht="60" hidden="1" customHeight="1" outlineLevel="2" x14ac:dyDescent="0.2">
      <c r="A120" s="13" t="s">
        <v>688</v>
      </c>
      <c r="B120" s="13" t="s">
        <v>699</v>
      </c>
      <c r="C120" s="13" t="s">
        <v>1592</v>
      </c>
      <c r="D120" s="48" t="s">
        <v>809</v>
      </c>
      <c r="E120" s="13" t="s">
        <v>1342</v>
      </c>
      <c r="F120" s="13" t="s">
        <v>679</v>
      </c>
      <c r="G120" s="4" t="s">
        <v>1347</v>
      </c>
      <c r="H120" s="15">
        <v>98</v>
      </c>
      <c r="I120" s="17" t="s">
        <v>661</v>
      </c>
      <c r="J120" s="19">
        <f>IF(H120&gt;0,(H120*VLOOKUP(Lookups!$K$11,Lookups!$M$10:$P$40,4,0)/VLOOKUP(I120,Lookups!$M$10:$P$40,4,0)),"")</f>
        <v>115.36530293338525</v>
      </c>
      <c r="K120" s="15"/>
      <c r="L120" s="17"/>
      <c r="M120" s="19" t="str">
        <f>IF(K120&gt;0,(K120*VLOOKUP(Lookups!$K$11,Lookups!$M$10:$P$40,4,0)/VLOOKUP(L120,Lookups!$M$10:$P$40,4,0)),"")</f>
        <v/>
      </c>
      <c r="N120" s="15"/>
      <c r="O120" s="17"/>
      <c r="P120" s="19" t="str">
        <f>IF(N120&gt;0,(N120*VLOOKUP(Lookups!$K$11,Lookups!$M$10:$P$40,4,0)/VLOOKUP(O120,Lookups!$M$10:$P$40,4,0)),"")</f>
        <v/>
      </c>
      <c r="Q120" s="77" t="s">
        <v>812</v>
      </c>
      <c r="R120" s="17" t="s">
        <v>619</v>
      </c>
      <c r="S120" s="13" t="s">
        <v>941</v>
      </c>
      <c r="T120" s="13"/>
      <c r="U120" s="120" t="s">
        <v>2264</v>
      </c>
    </row>
    <row r="121" spans="1:21" s="40" customFormat="1" ht="60" hidden="1" customHeight="1" outlineLevel="2" x14ac:dyDescent="0.2">
      <c r="A121" s="13" t="s">
        <v>688</v>
      </c>
      <c r="B121" s="13" t="s">
        <v>699</v>
      </c>
      <c r="C121" s="13" t="s">
        <v>1593</v>
      </c>
      <c r="D121" s="48" t="s">
        <v>811</v>
      </c>
      <c r="E121" s="13" t="s">
        <v>1342</v>
      </c>
      <c r="F121" s="13" t="s">
        <v>614</v>
      </c>
      <c r="G121" s="4" t="s">
        <v>669</v>
      </c>
      <c r="H121" s="15">
        <v>15</v>
      </c>
      <c r="I121" s="17" t="s">
        <v>661</v>
      </c>
      <c r="J121" s="19">
        <f>IF(H121&gt;0,(H121*VLOOKUP(Lookups!$K$11,Lookups!$M$10:$P$40,4,0)/VLOOKUP(I121,Lookups!$M$10:$P$40,4,0)),"")</f>
        <v>17.657954530620191</v>
      </c>
      <c r="K121" s="15"/>
      <c r="L121" s="17"/>
      <c r="M121" s="19" t="str">
        <f>IF(K121&gt;0,(K121*VLOOKUP(Lookups!$K$11,Lookups!$M$10:$P$40,4,0)/VLOOKUP(L121,Lookups!$M$10:$P$40,4,0)),"")</f>
        <v/>
      </c>
      <c r="N121" s="15"/>
      <c r="O121" s="17"/>
      <c r="P121" s="19" t="str">
        <f>IF(N121&gt;0,(N121*VLOOKUP(Lookups!$K$11,Lookups!$M$10:$P$40,4,0)/VLOOKUP(O121,Lookups!$M$10:$P$40,4,0)),"")</f>
        <v/>
      </c>
      <c r="Q121" s="77" t="s">
        <v>812</v>
      </c>
      <c r="R121" s="17" t="s">
        <v>619</v>
      </c>
      <c r="S121" s="13" t="s">
        <v>1064</v>
      </c>
      <c r="T121" s="13"/>
      <c r="U121" s="120" t="s">
        <v>2264</v>
      </c>
    </row>
    <row r="122" spans="1:21" s="40" customFormat="1" ht="60" hidden="1" customHeight="1" outlineLevel="1" x14ac:dyDescent="0.2">
      <c r="A122" s="46" t="s">
        <v>688</v>
      </c>
      <c r="B122" s="46" t="s">
        <v>699</v>
      </c>
      <c r="C122" s="46" t="s">
        <v>1956</v>
      </c>
      <c r="D122" s="46" t="s">
        <v>337</v>
      </c>
      <c r="E122" s="13" t="s">
        <v>1342</v>
      </c>
      <c r="F122" s="13" t="s">
        <v>629</v>
      </c>
      <c r="G122" s="4" t="s">
        <v>1384</v>
      </c>
      <c r="H122" s="15">
        <v>1354.84</v>
      </c>
      <c r="I122" s="17" t="s">
        <v>661</v>
      </c>
      <c r="J122" s="19">
        <f>IF(H122&gt;0,(H122*VLOOKUP(Lookups!$K$11,Lookups!$M$10:$P$40,4,0)/VLOOKUP(I122,Lookups!$M$10:$P$40,4,0)),"")</f>
        <v>1594.9135410843639</v>
      </c>
      <c r="K122" s="15">
        <v>4694</v>
      </c>
      <c r="L122" s="17" t="s">
        <v>661</v>
      </c>
      <c r="M122" s="19">
        <f>IF(K122&gt;0,(K122*VLOOKUP(Lookups!$K$11,Lookups!$M$10:$P$40,4,0)/VLOOKUP(L122,Lookups!$M$10:$P$40,4,0)),"")</f>
        <v>5525.7625711154114</v>
      </c>
      <c r="N122" s="15"/>
      <c r="O122" s="17"/>
      <c r="P122" s="19" t="str">
        <f>IF(N122&gt;0,(N122*VLOOKUP(Lookups!$K$11,Lookups!$M$10:$P$40,4,0)/VLOOKUP(O122,Lookups!$M$10:$P$40,4,0)),"")</f>
        <v/>
      </c>
      <c r="Q122" s="77" t="s">
        <v>813</v>
      </c>
      <c r="R122" s="17" t="s">
        <v>619</v>
      </c>
      <c r="S122" s="13" t="s">
        <v>1722</v>
      </c>
      <c r="T122" s="13" t="s">
        <v>1912</v>
      </c>
      <c r="U122" s="13" t="s">
        <v>378</v>
      </c>
    </row>
    <row r="123" spans="1:21" s="40" customFormat="1" ht="60" hidden="1" customHeight="1" outlineLevel="2" x14ac:dyDescent="0.2">
      <c r="A123" s="13" t="s">
        <v>688</v>
      </c>
      <c r="B123" s="13" t="s">
        <v>699</v>
      </c>
      <c r="C123" s="13" t="s">
        <v>1594</v>
      </c>
      <c r="D123" s="48" t="s">
        <v>814</v>
      </c>
      <c r="E123" s="13" t="s">
        <v>1342</v>
      </c>
      <c r="F123" s="13" t="s">
        <v>629</v>
      </c>
      <c r="G123" s="13" t="s">
        <v>225</v>
      </c>
      <c r="H123" s="15">
        <v>1219.3499999999999</v>
      </c>
      <c r="I123" s="17" t="s">
        <v>661</v>
      </c>
      <c r="J123" s="19">
        <f>IF(H123&gt;0,(H123*VLOOKUP(Lookups!$K$11,Lookups!$M$10:$P$40,4,0)/VLOOKUP(I123,Lookups!$M$10:$P$40,4,0)),"")</f>
        <v>1435.4151237941153</v>
      </c>
      <c r="K123" s="15"/>
      <c r="L123" s="17"/>
      <c r="M123" s="19" t="str">
        <f>IF(K123&gt;0,(K123*VLOOKUP(Lookups!$K$11,Lookups!$M$10:$P$40,4,0)/VLOOKUP(L123,Lookups!$M$10:$P$40,4,0)),"")</f>
        <v/>
      </c>
      <c r="N123" s="15"/>
      <c r="O123" s="17"/>
      <c r="P123" s="19" t="str">
        <f>IF(N123&gt;0,(N123*VLOOKUP(Lookups!$K$11,Lookups!$M$10:$P$40,4,0)/VLOOKUP(O123,Lookups!$M$10:$P$40,4,0)),"")</f>
        <v/>
      </c>
      <c r="Q123" s="77" t="s">
        <v>813</v>
      </c>
      <c r="R123" s="17" t="s">
        <v>619</v>
      </c>
      <c r="S123" s="13" t="s">
        <v>1065</v>
      </c>
      <c r="T123" s="13"/>
      <c r="U123" s="120" t="s">
        <v>2264</v>
      </c>
    </row>
    <row r="124" spans="1:21" s="40" customFormat="1" ht="60" hidden="1" customHeight="1" outlineLevel="2" x14ac:dyDescent="0.2">
      <c r="A124" s="13" t="s">
        <v>688</v>
      </c>
      <c r="B124" s="13" t="s">
        <v>699</v>
      </c>
      <c r="C124" s="13" t="s">
        <v>1595</v>
      </c>
      <c r="D124" s="48" t="s">
        <v>815</v>
      </c>
      <c r="E124" s="13" t="s">
        <v>1342</v>
      </c>
      <c r="F124" s="13" t="s">
        <v>679</v>
      </c>
      <c r="G124" s="4" t="s">
        <v>1347</v>
      </c>
      <c r="H124" s="15">
        <v>135.47999999999999</v>
      </c>
      <c r="I124" s="17" t="s">
        <v>661</v>
      </c>
      <c r="J124" s="19">
        <f>IF(H124&gt;0,(H124*VLOOKUP(Lookups!$K$11,Lookups!$M$10:$P$40,4,0)/VLOOKUP(I124,Lookups!$M$10:$P$40,4,0)),"")</f>
        <v>159.48664532056156</v>
      </c>
      <c r="K124" s="15"/>
      <c r="L124" s="17"/>
      <c r="M124" s="19" t="str">
        <f>IF(K124&gt;0,(K124*VLOOKUP(Lookups!$K$11,Lookups!$M$10:$P$40,4,0)/VLOOKUP(L124,Lookups!$M$10:$P$40,4,0)),"")</f>
        <v/>
      </c>
      <c r="N124" s="15"/>
      <c r="O124" s="17"/>
      <c r="P124" s="19" t="str">
        <f>IF(N124&gt;0,(N124*VLOOKUP(Lookups!$K$11,Lookups!$M$10:$P$40,4,0)/VLOOKUP(O124,Lookups!$M$10:$P$40,4,0)),"")</f>
        <v/>
      </c>
      <c r="Q124" s="77" t="s">
        <v>813</v>
      </c>
      <c r="R124" s="17" t="s">
        <v>619</v>
      </c>
      <c r="S124" s="13" t="s">
        <v>1066</v>
      </c>
      <c r="T124" s="13"/>
      <c r="U124" s="120" t="s">
        <v>2264</v>
      </c>
    </row>
    <row r="125" spans="1:21" s="40" customFormat="1" ht="60" hidden="1" customHeight="1" outlineLevel="1" x14ac:dyDescent="0.2">
      <c r="A125" s="46" t="s">
        <v>688</v>
      </c>
      <c r="B125" s="46" t="s">
        <v>699</v>
      </c>
      <c r="C125" s="46" t="s">
        <v>1957</v>
      </c>
      <c r="D125" s="46" t="s">
        <v>338</v>
      </c>
      <c r="E125" s="13" t="s">
        <v>1342</v>
      </c>
      <c r="F125" s="13" t="s">
        <v>629</v>
      </c>
      <c r="G125" s="4" t="s">
        <v>1384</v>
      </c>
      <c r="H125" s="15">
        <v>544</v>
      </c>
      <c r="I125" s="17" t="s">
        <v>661</v>
      </c>
      <c r="J125" s="19">
        <f>IF(H125&gt;0,(H125*VLOOKUP(Lookups!$K$11,Lookups!$M$10:$P$40,4,0)/VLOOKUP(I125,Lookups!$M$10:$P$40,4,0)),"")</f>
        <v>640.39515097715901</v>
      </c>
      <c r="K125" s="15">
        <v>3377</v>
      </c>
      <c r="L125" s="17" t="s">
        <v>661</v>
      </c>
      <c r="M125" s="19">
        <f>IF(K125&gt;0,(K125*VLOOKUP(Lookups!$K$11,Lookups!$M$10:$P$40,4,0)/VLOOKUP(L125,Lookups!$M$10:$P$40,4,0)),"")</f>
        <v>3975.3941633269587</v>
      </c>
      <c r="N125" s="15"/>
      <c r="O125" s="17"/>
      <c r="P125" s="19" t="str">
        <f>IF(N125&gt;0,(N125*VLOOKUP(Lookups!$K$11,Lookups!$M$10:$P$40,4,0)/VLOOKUP(O125,Lookups!$M$10:$P$40,4,0)),"")</f>
        <v/>
      </c>
      <c r="Q125" s="77" t="s">
        <v>816</v>
      </c>
      <c r="R125" s="17" t="s">
        <v>619</v>
      </c>
      <c r="S125" s="13" t="s">
        <v>2043</v>
      </c>
      <c r="T125" s="13" t="s">
        <v>1912</v>
      </c>
      <c r="U125" s="13" t="s">
        <v>378</v>
      </c>
    </row>
    <row r="126" spans="1:21" s="40" customFormat="1" ht="60" hidden="1" customHeight="1" outlineLevel="2" x14ac:dyDescent="0.2">
      <c r="A126" s="13" t="s">
        <v>688</v>
      </c>
      <c r="B126" s="13" t="s">
        <v>699</v>
      </c>
      <c r="C126" s="13" t="s">
        <v>1596</v>
      </c>
      <c r="D126" s="48" t="s">
        <v>817</v>
      </c>
      <c r="E126" s="13" t="s">
        <v>1342</v>
      </c>
      <c r="F126" s="13" t="s">
        <v>629</v>
      </c>
      <c r="G126" s="13" t="s">
        <v>225</v>
      </c>
      <c r="H126" s="15">
        <v>516</v>
      </c>
      <c r="I126" s="17" t="s">
        <v>661</v>
      </c>
      <c r="J126" s="19">
        <f>IF(H126&gt;0,(H126*VLOOKUP(Lookups!$K$11,Lookups!$M$10:$P$40,4,0)/VLOOKUP(I126,Lookups!$M$10:$P$40,4,0)),"")</f>
        <v>607.43363585333452</v>
      </c>
      <c r="K126" s="15"/>
      <c r="L126" s="17"/>
      <c r="M126" s="19" t="str">
        <f>IF(K126&gt;0,(K126*VLOOKUP(Lookups!$K$11,Lookups!$M$10:$P$40,4,0)/VLOOKUP(L126,Lookups!$M$10:$P$40,4,0)),"")</f>
        <v/>
      </c>
      <c r="N126" s="15"/>
      <c r="O126" s="17"/>
      <c r="P126" s="19" t="str">
        <f>IF(N126&gt;0,(N126*VLOOKUP(Lookups!$K$11,Lookups!$M$10:$P$40,4,0)/VLOOKUP(O126,Lookups!$M$10:$P$40,4,0)),"")</f>
        <v/>
      </c>
      <c r="Q126" s="77" t="s">
        <v>816</v>
      </c>
      <c r="R126" s="17" t="s">
        <v>619</v>
      </c>
      <c r="S126" s="13" t="s">
        <v>1067</v>
      </c>
      <c r="T126" s="13"/>
      <c r="U126" s="120" t="s">
        <v>2264</v>
      </c>
    </row>
    <row r="127" spans="1:21" s="40" customFormat="1" ht="60" hidden="1" customHeight="1" outlineLevel="2" x14ac:dyDescent="0.2">
      <c r="A127" s="13" t="s">
        <v>688</v>
      </c>
      <c r="B127" s="13" t="s">
        <v>699</v>
      </c>
      <c r="C127" s="13" t="s">
        <v>1597</v>
      </c>
      <c r="D127" s="48" t="s">
        <v>818</v>
      </c>
      <c r="E127" s="13" t="s">
        <v>1342</v>
      </c>
      <c r="F127" s="13" t="s">
        <v>679</v>
      </c>
      <c r="G127" s="4" t="s">
        <v>1347</v>
      </c>
      <c r="H127" s="15">
        <v>28</v>
      </c>
      <c r="I127" s="17" t="s">
        <v>661</v>
      </c>
      <c r="J127" s="19">
        <f>IF(H127&gt;0,(H127*VLOOKUP(Lookups!$K$11,Lookups!$M$10:$P$40,4,0)/VLOOKUP(I127,Lookups!$M$10:$P$40,4,0)),"")</f>
        <v>32.961515123824356</v>
      </c>
      <c r="K127" s="15"/>
      <c r="L127" s="17"/>
      <c r="M127" s="19" t="str">
        <f>IF(K127&gt;0,(K127*VLOOKUP(Lookups!$K$11,Lookups!$M$10:$P$40,4,0)/VLOOKUP(L127,Lookups!$M$10:$P$40,4,0)),"")</f>
        <v/>
      </c>
      <c r="N127" s="15"/>
      <c r="O127" s="17"/>
      <c r="P127" s="19" t="str">
        <f>IF(N127&gt;0,(N127*VLOOKUP(Lookups!$K$11,Lookups!$M$10:$P$40,4,0)/VLOOKUP(O127,Lookups!$M$10:$P$40,4,0)),"")</f>
        <v/>
      </c>
      <c r="Q127" s="77" t="s">
        <v>816</v>
      </c>
      <c r="R127" s="17" t="s">
        <v>619</v>
      </c>
      <c r="S127" s="13" t="s">
        <v>1068</v>
      </c>
      <c r="T127" s="13"/>
      <c r="U127" s="120" t="s">
        <v>2264</v>
      </c>
    </row>
    <row r="128" spans="1:21" s="40" customFormat="1" ht="60" hidden="1" customHeight="1" outlineLevel="1" x14ac:dyDescent="0.2">
      <c r="A128" s="46" t="s">
        <v>688</v>
      </c>
      <c r="B128" s="46" t="s">
        <v>699</v>
      </c>
      <c r="C128" s="46" t="s">
        <v>1958</v>
      </c>
      <c r="D128" s="46" t="s">
        <v>339</v>
      </c>
      <c r="E128" s="13" t="s">
        <v>1342</v>
      </c>
      <c r="F128" s="13" t="s">
        <v>629</v>
      </c>
      <c r="G128" s="4" t="s">
        <v>1384</v>
      </c>
      <c r="H128" s="15">
        <v>7964</v>
      </c>
      <c r="I128" s="17" t="s">
        <v>661</v>
      </c>
      <c r="J128" s="19">
        <f>IF(H128&gt;0,(H128*VLOOKUP(Lookups!$K$11,Lookups!$M$10:$P$40,4,0)/VLOOKUP(I128,Lookups!$M$10:$P$40,4,0)),"")</f>
        <v>9375.1966587906136</v>
      </c>
      <c r="K128" s="15">
        <v>11131</v>
      </c>
      <c r="L128" s="17" t="s">
        <v>661</v>
      </c>
      <c r="M128" s="19">
        <f>IF(K128&gt;0,(K128*VLOOKUP(Lookups!$K$11,Lookups!$M$10:$P$40,4,0)/VLOOKUP(L128,Lookups!$M$10:$P$40,4,0)),"")</f>
        <v>13103.379458688889</v>
      </c>
      <c r="N128" s="15"/>
      <c r="O128" s="17"/>
      <c r="P128" s="19" t="str">
        <f>IF(N128&gt;0,(N128*VLOOKUP(Lookups!$K$11,Lookups!$M$10:$P$40,4,0)/VLOOKUP(O128,Lookups!$M$10:$P$40,4,0)),"")</f>
        <v/>
      </c>
      <c r="Q128" s="77" t="s">
        <v>819</v>
      </c>
      <c r="R128" s="17" t="s">
        <v>619</v>
      </c>
      <c r="S128" s="13" t="s">
        <v>2044</v>
      </c>
      <c r="T128" s="13" t="s">
        <v>1912</v>
      </c>
      <c r="U128" s="13" t="s">
        <v>378</v>
      </c>
    </row>
    <row r="129" spans="1:21" s="40" customFormat="1" ht="60" hidden="1" customHeight="1" outlineLevel="2" x14ac:dyDescent="0.2">
      <c r="A129" s="13" t="s">
        <v>688</v>
      </c>
      <c r="B129" s="13" t="s">
        <v>699</v>
      </c>
      <c r="C129" s="13" t="s">
        <v>1598</v>
      </c>
      <c r="D129" s="48" t="s">
        <v>820</v>
      </c>
      <c r="E129" s="13" t="s">
        <v>1342</v>
      </c>
      <c r="F129" s="13" t="s">
        <v>629</v>
      </c>
      <c r="G129" s="13" t="s">
        <v>225</v>
      </c>
      <c r="H129" s="15">
        <v>6053</v>
      </c>
      <c r="I129" s="17" t="s">
        <v>661</v>
      </c>
      <c r="J129" s="19">
        <f>IF(H129&gt;0,(H129*VLOOKUP(Lookups!$K$11,Lookups!$M$10:$P$40,4,0)/VLOOKUP(I129,Lookups!$M$10:$P$40,4,0)),"")</f>
        <v>7125.5732515896007</v>
      </c>
      <c r="K129" s="15"/>
      <c r="L129" s="17"/>
      <c r="M129" s="19" t="str">
        <f>IF(K129&gt;0,(K129*VLOOKUP(Lookups!$K$11,Lookups!$M$10:$P$40,4,0)/VLOOKUP(L129,Lookups!$M$10:$P$40,4,0)),"")</f>
        <v/>
      </c>
      <c r="N129" s="15"/>
      <c r="O129" s="17"/>
      <c r="P129" s="19" t="str">
        <f>IF(N129&gt;0,(N129*VLOOKUP(Lookups!$K$11,Lookups!$M$10:$P$40,4,0)/VLOOKUP(O129,Lookups!$M$10:$P$40,4,0)),"")</f>
        <v/>
      </c>
      <c r="Q129" s="77" t="s">
        <v>819</v>
      </c>
      <c r="R129" s="17" t="s">
        <v>619</v>
      </c>
      <c r="S129" s="13" t="s">
        <v>868</v>
      </c>
      <c r="T129" s="13"/>
      <c r="U129" s="120" t="s">
        <v>2264</v>
      </c>
    </row>
    <row r="130" spans="1:21" s="40" customFormat="1" ht="60" hidden="1" customHeight="1" outlineLevel="2" x14ac:dyDescent="0.2">
      <c r="A130" s="13" t="s">
        <v>688</v>
      </c>
      <c r="B130" s="13" t="s">
        <v>699</v>
      </c>
      <c r="C130" s="13" t="s">
        <v>1599</v>
      </c>
      <c r="D130" s="48" t="s">
        <v>821</v>
      </c>
      <c r="E130" s="13" t="s">
        <v>1342</v>
      </c>
      <c r="F130" s="13" t="s">
        <v>679</v>
      </c>
      <c r="G130" s="4" t="s">
        <v>1347</v>
      </c>
      <c r="H130" s="15">
        <v>1380</v>
      </c>
      <c r="I130" s="17" t="s">
        <v>661</v>
      </c>
      <c r="J130" s="19">
        <f>IF(H130&gt;0,(H130*VLOOKUP(Lookups!$K$11,Lookups!$M$10:$P$40,4,0)/VLOOKUP(I130,Lookups!$M$10:$P$40,4,0)),"")</f>
        <v>1624.5318168170575</v>
      </c>
      <c r="K130" s="15"/>
      <c r="L130" s="17"/>
      <c r="M130" s="19" t="str">
        <f>IF(K130&gt;0,(K130*VLOOKUP(Lookups!$K$11,Lookups!$M$10:$P$40,4,0)/VLOOKUP(L130,Lookups!$M$10:$P$40,4,0)),"")</f>
        <v/>
      </c>
      <c r="N130" s="15"/>
      <c r="O130" s="17"/>
      <c r="P130" s="19" t="str">
        <f>IF(N130&gt;0,(N130*VLOOKUP(Lookups!$K$11,Lookups!$M$10:$P$40,4,0)/VLOOKUP(O130,Lookups!$M$10:$P$40,4,0)),"")</f>
        <v/>
      </c>
      <c r="Q130" s="77" t="s">
        <v>819</v>
      </c>
      <c r="R130" s="17" t="s">
        <v>619</v>
      </c>
      <c r="S130" s="13" t="s">
        <v>869</v>
      </c>
      <c r="T130" s="13"/>
      <c r="U130" s="120" t="s">
        <v>2264</v>
      </c>
    </row>
    <row r="131" spans="1:21" s="40" customFormat="1" ht="60" hidden="1" customHeight="1" outlineLevel="2" x14ac:dyDescent="0.2">
      <c r="A131" s="13" t="s">
        <v>688</v>
      </c>
      <c r="B131" s="13" t="s">
        <v>699</v>
      </c>
      <c r="C131" s="13" t="s">
        <v>1600</v>
      </c>
      <c r="D131" s="48" t="s">
        <v>744</v>
      </c>
      <c r="E131" s="13" t="s">
        <v>1342</v>
      </c>
      <c r="F131" s="13" t="s">
        <v>614</v>
      </c>
      <c r="G131" s="4" t="s">
        <v>669</v>
      </c>
      <c r="H131" s="15">
        <v>531</v>
      </c>
      <c r="I131" s="17" t="s">
        <v>661</v>
      </c>
      <c r="J131" s="19">
        <f>IF(H131&gt;0,(H131*VLOOKUP(Lookups!$K$11,Lookups!$M$10:$P$40,4,0)/VLOOKUP(I131,Lookups!$M$10:$P$40,4,0)),"")</f>
        <v>625.09159038395478</v>
      </c>
      <c r="K131" s="15"/>
      <c r="L131" s="17"/>
      <c r="M131" s="19" t="str">
        <f>IF(K131&gt;0,(K131*VLOOKUP(Lookups!$K$11,Lookups!$M$10:$P$40,4,0)/VLOOKUP(L131,Lookups!$M$10:$P$40,4,0)),"")</f>
        <v/>
      </c>
      <c r="N131" s="15"/>
      <c r="O131" s="17"/>
      <c r="P131" s="19" t="str">
        <f>IF(N131&gt;0,(N131*VLOOKUP(Lookups!$K$11,Lookups!$M$10:$P$40,4,0)/VLOOKUP(O131,Lookups!$M$10:$P$40,4,0)),"")</f>
        <v/>
      </c>
      <c r="Q131" s="77" t="s">
        <v>819</v>
      </c>
      <c r="R131" s="17" t="s">
        <v>619</v>
      </c>
      <c r="S131" s="13" t="s">
        <v>870</v>
      </c>
      <c r="T131" s="13"/>
      <c r="U131" s="120" t="s">
        <v>2264</v>
      </c>
    </row>
    <row r="132" spans="1:21" s="40" customFormat="1" ht="60" hidden="1" customHeight="1" outlineLevel="1" x14ac:dyDescent="0.2">
      <c r="A132" s="46" t="s">
        <v>688</v>
      </c>
      <c r="B132" s="46" t="s">
        <v>699</v>
      </c>
      <c r="C132" s="46" t="s">
        <v>1959</v>
      </c>
      <c r="D132" s="46" t="s">
        <v>340</v>
      </c>
      <c r="E132" s="13" t="s">
        <v>1342</v>
      </c>
      <c r="F132" s="13" t="s">
        <v>629</v>
      </c>
      <c r="G132" s="4" t="s">
        <v>1384</v>
      </c>
      <c r="H132" s="15">
        <v>1036</v>
      </c>
      <c r="I132" s="17" t="s">
        <v>661</v>
      </c>
      <c r="J132" s="19">
        <f>IF(H132&gt;0,(H132*VLOOKUP(Lookups!$K$11,Lookups!$M$10:$P$40,4,0)/VLOOKUP(I132,Lookups!$M$10:$P$40,4,0)),"")</f>
        <v>1219.5760595815011</v>
      </c>
      <c r="K132" s="15">
        <v>3535</v>
      </c>
      <c r="L132" s="17" t="s">
        <v>661</v>
      </c>
      <c r="M132" s="19">
        <f>IF(K132&gt;0,(K132*VLOOKUP(Lookups!$K$11,Lookups!$M$10:$P$40,4,0)/VLOOKUP(L132,Lookups!$M$10:$P$40,4,0)),"")</f>
        <v>4161.3912843828248</v>
      </c>
      <c r="N132" s="15"/>
      <c r="O132" s="17"/>
      <c r="P132" s="19" t="str">
        <f>IF(N132&gt;0,(N132*VLOOKUP(Lookups!$K$11,Lookups!$M$10:$P$40,4,0)/VLOOKUP(O132,Lookups!$M$10:$P$40,4,0)),"")</f>
        <v/>
      </c>
      <c r="Q132" s="77" t="s">
        <v>745</v>
      </c>
      <c r="R132" s="17" t="s">
        <v>619</v>
      </c>
      <c r="S132" s="13" t="s">
        <v>1926</v>
      </c>
      <c r="T132" s="13" t="s">
        <v>1912</v>
      </c>
      <c r="U132" s="13" t="s">
        <v>378</v>
      </c>
    </row>
    <row r="133" spans="1:21" s="40" customFormat="1" ht="60" hidden="1" customHeight="1" outlineLevel="2" x14ac:dyDescent="0.2">
      <c r="A133" s="13" t="s">
        <v>688</v>
      </c>
      <c r="B133" s="13" t="s">
        <v>699</v>
      </c>
      <c r="C133" s="13" t="s">
        <v>1601</v>
      </c>
      <c r="D133" s="48" t="s">
        <v>746</v>
      </c>
      <c r="E133" s="13" t="s">
        <v>1342</v>
      </c>
      <c r="F133" s="13" t="s">
        <v>629</v>
      </c>
      <c r="G133" s="13" t="s">
        <v>225</v>
      </c>
      <c r="H133" s="15">
        <v>849</v>
      </c>
      <c r="I133" s="17" t="s">
        <v>661</v>
      </c>
      <c r="J133" s="19">
        <f>IF(H133&gt;0,(H133*VLOOKUP(Lookups!$K$11,Lookups!$M$10:$P$40,4,0)/VLOOKUP(I133,Lookups!$M$10:$P$40,4,0)),"")</f>
        <v>999.44022643310291</v>
      </c>
      <c r="K133" s="15"/>
      <c r="L133" s="17"/>
      <c r="M133" s="19" t="str">
        <f>IF(K133&gt;0,(K133*VLOOKUP(Lookups!$K$11,Lookups!$M$10:$P$40,4,0)/VLOOKUP(L133,Lookups!$M$10:$P$40,4,0)),"")</f>
        <v/>
      </c>
      <c r="N133" s="15"/>
      <c r="O133" s="17"/>
      <c r="P133" s="19" t="str">
        <f>IF(N133&gt;0,(N133*VLOOKUP(Lookups!$K$11,Lookups!$M$10:$P$40,4,0)/VLOOKUP(O133,Lookups!$M$10:$P$40,4,0)),"")</f>
        <v/>
      </c>
      <c r="Q133" s="77" t="s">
        <v>745</v>
      </c>
      <c r="R133" s="17" t="s">
        <v>619</v>
      </c>
      <c r="S133" s="13" t="s">
        <v>871</v>
      </c>
      <c r="T133" s="13"/>
      <c r="U133" s="120" t="s">
        <v>2264</v>
      </c>
    </row>
    <row r="134" spans="1:21" s="40" customFormat="1" ht="60" hidden="1" customHeight="1" outlineLevel="2" x14ac:dyDescent="0.2">
      <c r="A134" s="13" t="s">
        <v>688</v>
      </c>
      <c r="B134" s="13" t="s">
        <v>699</v>
      </c>
      <c r="C134" s="13" t="s">
        <v>1602</v>
      </c>
      <c r="D134" s="48" t="s">
        <v>747</v>
      </c>
      <c r="E134" s="13" t="s">
        <v>1342</v>
      </c>
      <c r="F134" s="13" t="s">
        <v>679</v>
      </c>
      <c r="G134" s="4" t="s">
        <v>1347</v>
      </c>
      <c r="H134" s="15">
        <v>187</v>
      </c>
      <c r="I134" s="17" t="s">
        <v>661</v>
      </c>
      <c r="J134" s="19">
        <f>IF(H134&gt;0,(H134*VLOOKUP(Lookups!$K$11,Lookups!$M$10:$P$40,4,0)/VLOOKUP(I134,Lookups!$M$10:$P$40,4,0)),"")</f>
        <v>220.13583314839838</v>
      </c>
      <c r="K134" s="15"/>
      <c r="L134" s="17"/>
      <c r="M134" s="19" t="str">
        <f>IF(K134&gt;0,(K134*VLOOKUP(Lookups!$K$11,Lookups!$M$10:$P$40,4,0)/VLOOKUP(L134,Lookups!$M$10:$P$40,4,0)),"")</f>
        <v/>
      </c>
      <c r="N134" s="15"/>
      <c r="O134" s="17"/>
      <c r="P134" s="19" t="str">
        <f>IF(N134&gt;0,(N134*VLOOKUP(Lookups!$K$11,Lookups!$M$10:$P$40,4,0)/VLOOKUP(O134,Lookups!$M$10:$P$40,4,0)),"")</f>
        <v/>
      </c>
      <c r="Q134" s="77" t="s">
        <v>745</v>
      </c>
      <c r="R134" s="17" t="s">
        <v>619</v>
      </c>
      <c r="S134" s="13" t="s">
        <v>872</v>
      </c>
      <c r="T134" s="13"/>
      <c r="U134" s="120" t="s">
        <v>2264</v>
      </c>
    </row>
    <row r="135" spans="1:21" s="40" customFormat="1" ht="60" hidden="1" customHeight="1" outlineLevel="1" x14ac:dyDescent="0.2">
      <c r="A135" s="46" t="s">
        <v>688</v>
      </c>
      <c r="B135" s="46" t="s">
        <v>699</v>
      </c>
      <c r="C135" s="46" t="s">
        <v>1960</v>
      </c>
      <c r="D135" s="46" t="s">
        <v>341</v>
      </c>
      <c r="E135" s="13" t="s">
        <v>1342</v>
      </c>
      <c r="F135" s="13" t="s">
        <v>629</v>
      </c>
      <c r="G135" s="13" t="s">
        <v>225</v>
      </c>
      <c r="H135" s="15">
        <v>137</v>
      </c>
      <c r="I135" s="17" t="s">
        <v>661</v>
      </c>
      <c r="J135" s="19">
        <f>IF(H135&gt;0,(H135*VLOOKUP(Lookups!$K$11,Lookups!$M$10:$P$40,4,0)/VLOOKUP(I135,Lookups!$M$10:$P$40,4,0)),"")</f>
        <v>161.27598471299774</v>
      </c>
      <c r="K135" s="15">
        <v>299</v>
      </c>
      <c r="L135" s="17" t="s">
        <v>661</v>
      </c>
      <c r="M135" s="19">
        <f>IF(K135&gt;0,(K135*VLOOKUP(Lookups!$K$11,Lookups!$M$10:$P$40,4,0)/VLOOKUP(L135,Lookups!$M$10:$P$40,4,0)),"")</f>
        <v>351.9818936436958</v>
      </c>
      <c r="N135" s="15"/>
      <c r="O135" s="17"/>
      <c r="P135" s="19" t="str">
        <f>IF(N135&gt;0,(N135*VLOOKUP(Lookups!$K$11,Lookups!$M$10:$P$40,4,0)/VLOOKUP(O135,Lookups!$M$10:$P$40,4,0)),"")</f>
        <v/>
      </c>
      <c r="Q135" s="77" t="s">
        <v>748</v>
      </c>
      <c r="R135" s="17" t="s">
        <v>619</v>
      </c>
      <c r="S135" s="13" t="s">
        <v>1927</v>
      </c>
      <c r="T135" s="13" t="s">
        <v>1912</v>
      </c>
      <c r="U135" s="13" t="s">
        <v>378</v>
      </c>
    </row>
    <row r="136" spans="1:21" s="40" customFormat="1" ht="60" hidden="1" customHeight="1" outlineLevel="1" x14ac:dyDescent="0.2">
      <c r="A136" s="46" t="s">
        <v>688</v>
      </c>
      <c r="B136" s="46" t="s">
        <v>699</v>
      </c>
      <c r="C136" s="46" t="s">
        <v>1961</v>
      </c>
      <c r="D136" s="46" t="s">
        <v>342</v>
      </c>
      <c r="E136" s="13" t="s">
        <v>1342</v>
      </c>
      <c r="F136" s="13" t="s">
        <v>629</v>
      </c>
      <c r="G136" s="13" t="s">
        <v>225</v>
      </c>
      <c r="H136" s="15">
        <v>283</v>
      </c>
      <c r="I136" s="17" t="s">
        <v>661</v>
      </c>
      <c r="J136" s="19">
        <f>IF(H136&gt;0,(H136*VLOOKUP(Lookups!$K$11,Lookups!$M$10:$P$40,4,0)/VLOOKUP(I136,Lookups!$M$10:$P$40,4,0)),"")</f>
        <v>333.14674214436758</v>
      </c>
      <c r="K136" s="15">
        <v>2915</v>
      </c>
      <c r="L136" s="17" t="s">
        <v>661</v>
      </c>
      <c r="M136" s="19">
        <f>IF(K136&gt;0,(K136*VLOOKUP(Lookups!$K$11,Lookups!$M$10:$P$40,4,0)/VLOOKUP(L136,Lookups!$M$10:$P$40,4,0)),"")</f>
        <v>3431.5291637838568</v>
      </c>
      <c r="N136" s="15"/>
      <c r="O136" s="17"/>
      <c r="P136" s="19" t="str">
        <f>IF(N136&gt;0,(N136*VLOOKUP(Lookups!$K$11,Lookups!$M$10:$P$40,4,0)/VLOOKUP(O136,Lookups!$M$10:$P$40,4,0)),"")</f>
        <v/>
      </c>
      <c r="Q136" s="77" t="s">
        <v>749</v>
      </c>
      <c r="R136" s="17" t="s">
        <v>619</v>
      </c>
      <c r="S136" s="13" t="s">
        <v>1928</v>
      </c>
      <c r="T136" s="13" t="s">
        <v>1912</v>
      </c>
      <c r="U136" s="13" t="s">
        <v>378</v>
      </c>
    </row>
    <row r="137" spans="1:21" s="40" customFormat="1" ht="60" hidden="1" customHeight="1" outlineLevel="1" x14ac:dyDescent="0.2">
      <c r="A137" s="46" t="s">
        <v>688</v>
      </c>
      <c r="B137" s="46" t="s">
        <v>699</v>
      </c>
      <c r="C137" s="46" t="s">
        <v>1962</v>
      </c>
      <c r="D137" s="46" t="s">
        <v>343</v>
      </c>
      <c r="E137" s="13" t="s">
        <v>1342</v>
      </c>
      <c r="F137" s="13" t="s">
        <v>679</v>
      </c>
      <c r="G137" s="4" t="s">
        <v>629</v>
      </c>
      <c r="H137" s="15">
        <v>16386</v>
      </c>
      <c r="I137" s="17" t="s">
        <v>661</v>
      </c>
      <c r="J137" s="19">
        <f>IF(H137&gt;0,(H137*VLOOKUP(Lookups!$K$11,Lookups!$M$10:$P$40,4,0)/VLOOKUP(I137,Lookups!$M$10:$P$40,4,0)),"")</f>
        <v>19289.549529249496</v>
      </c>
      <c r="K137" s="15">
        <v>9217</v>
      </c>
      <c r="L137" s="17" t="s">
        <v>661</v>
      </c>
      <c r="M137" s="19">
        <f>IF(K137&gt;0,(K137*VLOOKUP(Lookups!$K$11,Lookups!$M$10:$P$40,4,0)/VLOOKUP(L137,Lookups!$M$10:$P$40,4,0)),"")</f>
        <v>10850.224460581754</v>
      </c>
      <c r="N137" s="15"/>
      <c r="O137" s="17"/>
      <c r="P137" s="19" t="str">
        <f>IF(N137&gt;0,(N137*VLOOKUP(Lookups!$K$11,Lookups!$M$10:$P$40,4,0)/VLOOKUP(O137,Lookups!$M$10:$P$40,4,0)),"")</f>
        <v/>
      </c>
      <c r="Q137" s="77" t="s">
        <v>750</v>
      </c>
      <c r="R137" s="17" t="s">
        <v>619</v>
      </c>
      <c r="S137" s="13" t="s">
        <v>1929</v>
      </c>
      <c r="T137" s="13" t="s">
        <v>1912</v>
      </c>
      <c r="U137" s="13" t="s">
        <v>378</v>
      </c>
    </row>
    <row r="138" spans="1:21" s="40" customFormat="1" ht="60" hidden="1" customHeight="1" outlineLevel="2" x14ac:dyDescent="0.2">
      <c r="A138" s="13" t="s">
        <v>688</v>
      </c>
      <c r="B138" s="13" t="s">
        <v>699</v>
      </c>
      <c r="C138" s="13" t="s">
        <v>1603</v>
      </c>
      <c r="D138" s="48" t="s">
        <v>1150</v>
      </c>
      <c r="E138" s="13" t="s">
        <v>1342</v>
      </c>
      <c r="F138" s="13" t="s">
        <v>679</v>
      </c>
      <c r="G138" s="4" t="s">
        <v>1347</v>
      </c>
      <c r="H138" s="15">
        <v>14338</v>
      </c>
      <c r="I138" s="17" t="s">
        <v>661</v>
      </c>
      <c r="J138" s="19">
        <f>IF(H138&gt;0,(H138*VLOOKUP(Lookups!$K$11,Lookups!$M$10:$P$40,4,0)/VLOOKUP(I138,Lookups!$M$10:$P$40,4,0)),"")</f>
        <v>16878.650137335484</v>
      </c>
      <c r="K138" s="15"/>
      <c r="L138" s="17"/>
      <c r="M138" s="19" t="str">
        <f>IF(K138&gt;0,(K138*VLOOKUP(Lookups!$K$11,Lookups!$M$10:$P$40,4,0)/VLOOKUP(L138,Lookups!$M$10:$P$40,4,0)),"")</f>
        <v/>
      </c>
      <c r="N138" s="15"/>
      <c r="O138" s="17"/>
      <c r="P138" s="19" t="str">
        <f>IF(N138&gt;0,(N138*VLOOKUP(Lookups!$K$11,Lookups!$M$10:$P$40,4,0)/VLOOKUP(O138,Lookups!$M$10:$P$40,4,0)),"")</f>
        <v/>
      </c>
      <c r="Q138" s="77" t="s">
        <v>750</v>
      </c>
      <c r="R138" s="17" t="s">
        <v>619</v>
      </c>
      <c r="S138" s="13" t="s">
        <v>857</v>
      </c>
      <c r="T138" s="13"/>
      <c r="U138" s="120" t="s">
        <v>2264</v>
      </c>
    </row>
    <row r="139" spans="1:21" s="40" customFormat="1" ht="60" hidden="1" customHeight="1" outlineLevel="2" x14ac:dyDescent="0.2">
      <c r="A139" s="13" t="s">
        <v>688</v>
      </c>
      <c r="B139" s="13" t="s">
        <v>699</v>
      </c>
      <c r="C139" s="13" t="s">
        <v>1604</v>
      </c>
      <c r="D139" s="48" t="s">
        <v>1151</v>
      </c>
      <c r="E139" s="13" t="s">
        <v>1342</v>
      </c>
      <c r="F139" s="13" t="s">
        <v>629</v>
      </c>
      <c r="G139" s="13" t="s">
        <v>225</v>
      </c>
      <c r="H139" s="15">
        <v>2048</v>
      </c>
      <c r="I139" s="17" t="s">
        <v>661</v>
      </c>
      <c r="J139" s="19">
        <f>IF(H139&gt;0,(H139*VLOOKUP(Lookups!$K$11,Lookups!$M$10:$P$40,4,0)/VLOOKUP(I139,Lookups!$M$10:$P$40,4,0)),"")</f>
        <v>2410.8993919140103</v>
      </c>
      <c r="K139" s="15"/>
      <c r="L139" s="17"/>
      <c r="M139" s="19" t="str">
        <f>IF(K139&gt;0,(K139*VLOOKUP(Lookups!$K$11,Lookups!$M$10:$P$40,4,0)/VLOOKUP(L139,Lookups!$M$10:$P$40,4,0)),"")</f>
        <v/>
      </c>
      <c r="N139" s="15"/>
      <c r="O139" s="17"/>
      <c r="P139" s="19" t="str">
        <f>IF(N139&gt;0,(N139*VLOOKUP(Lookups!$K$11,Lookups!$M$10:$P$40,4,0)/VLOOKUP(O139,Lookups!$M$10:$P$40,4,0)),"")</f>
        <v/>
      </c>
      <c r="Q139" s="77" t="s">
        <v>750</v>
      </c>
      <c r="R139" s="17" t="s">
        <v>619</v>
      </c>
      <c r="S139" s="13" t="s">
        <v>858</v>
      </c>
      <c r="T139" s="13"/>
      <c r="U139" s="120" t="s">
        <v>2264</v>
      </c>
    </row>
    <row r="140" spans="1:21" s="40" customFormat="1" ht="60" customHeight="1" collapsed="1" x14ac:dyDescent="0.2">
      <c r="A140" s="42" t="s">
        <v>688</v>
      </c>
      <c r="B140" s="42" t="s">
        <v>699</v>
      </c>
      <c r="C140" s="42" t="s">
        <v>1984</v>
      </c>
      <c r="D140" s="42" t="s">
        <v>536</v>
      </c>
      <c r="E140" s="13" t="s">
        <v>1342</v>
      </c>
      <c r="F140" s="13" t="s">
        <v>629</v>
      </c>
      <c r="G140" s="13" t="s">
        <v>225</v>
      </c>
      <c r="H140" s="15">
        <v>230</v>
      </c>
      <c r="I140" s="17" t="s">
        <v>661</v>
      </c>
      <c r="J140" s="19">
        <f>IF(H140&gt;0,(H140*VLOOKUP(Lookups!$K$11,Lookups!$M$10:$P$40,4,0)/VLOOKUP(I140,Lookups!$M$10:$P$40,4,0)),"")</f>
        <v>270.75530280284295</v>
      </c>
      <c r="K140" s="15"/>
      <c r="L140" s="17"/>
      <c r="M140" s="19" t="str">
        <f>IF(K140&gt;0,(K140*VLOOKUP(Lookups!$K$11,Lookups!$M$10:$P$40,4,0)/VLOOKUP(L140,Lookups!$M$10:$P$40,4,0)),"")</f>
        <v/>
      </c>
      <c r="N140" s="15"/>
      <c r="O140" s="17"/>
      <c r="P140" s="19" t="str">
        <f>IF(N140&gt;0,(N140*VLOOKUP(Lookups!$K$11,Lookups!$M$10:$P$40,4,0)/VLOOKUP(O140,Lookups!$M$10:$P$40,4,0)),"")</f>
        <v/>
      </c>
      <c r="Q140" s="77" t="s">
        <v>537</v>
      </c>
      <c r="R140" s="17" t="s">
        <v>619</v>
      </c>
      <c r="S140" s="13" t="s">
        <v>555</v>
      </c>
      <c r="T140" s="13"/>
      <c r="U140" s="120" t="s">
        <v>2264</v>
      </c>
    </row>
    <row r="141" spans="1:21" s="58" customFormat="1" ht="60" hidden="1" customHeight="1" outlineLevel="1" x14ac:dyDescent="0.2">
      <c r="A141" s="46" t="s">
        <v>688</v>
      </c>
      <c r="B141" s="46" t="s">
        <v>699</v>
      </c>
      <c r="C141" s="46" t="s">
        <v>978</v>
      </c>
      <c r="D141" s="46" t="s">
        <v>576</v>
      </c>
      <c r="E141" s="13" t="s">
        <v>1372</v>
      </c>
      <c r="F141" s="13" t="s">
        <v>629</v>
      </c>
      <c r="G141" s="13" t="s">
        <v>225</v>
      </c>
      <c r="H141" s="15">
        <v>632</v>
      </c>
      <c r="I141" s="17" t="s">
        <v>665</v>
      </c>
      <c r="J141" s="19">
        <f>IF(H141&gt;0,(H141*VLOOKUP(Lookups!$K$11,Lookups!$M$10:$P$40,4,0)/VLOOKUP(I141,Lookups!$M$10:$P$40,4,0)),"")</f>
        <v>676.32135105859572</v>
      </c>
      <c r="K141" s="15"/>
      <c r="L141" s="17"/>
      <c r="M141" s="19" t="str">
        <f>IF(K141&gt;0,(K141*VLOOKUP(Lookups!$K$11,Lookups!$M$10:$P$40,4,0)/VLOOKUP(L141,Lookups!$M$10:$P$40,4,0)),"")</f>
        <v/>
      </c>
      <c r="N141" s="15"/>
      <c r="O141" s="17"/>
      <c r="P141" s="19" t="str">
        <f>IF(N141&gt;0,(N141*VLOOKUP(Lookups!$K$11,Lookups!$M$10:$P$40,4,0)/VLOOKUP(O141,Lookups!$M$10:$P$40,4,0)),"")</f>
        <v/>
      </c>
      <c r="Q141" s="78" t="s">
        <v>577</v>
      </c>
      <c r="R141" s="17" t="s">
        <v>621</v>
      </c>
      <c r="S141" s="13" t="s">
        <v>578</v>
      </c>
      <c r="T141" s="13"/>
      <c r="U141" s="120" t="s">
        <v>272</v>
      </c>
    </row>
    <row r="142" spans="1:21" s="57" customFormat="1" ht="60" hidden="1" customHeight="1" outlineLevel="1" x14ac:dyDescent="0.2">
      <c r="A142" s="46" t="s">
        <v>688</v>
      </c>
      <c r="B142" s="46" t="s">
        <v>699</v>
      </c>
      <c r="C142" s="46" t="s">
        <v>1963</v>
      </c>
      <c r="D142" s="46" t="s">
        <v>570</v>
      </c>
      <c r="E142" s="13" t="s">
        <v>1371</v>
      </c>
      <c r="F142" s="13" t="s">
        <v>629</v>
      </c>
      <c r="G142" s="13" t="s">
        <v>225</v>
      </c>
      <c r="H142" s="15">
        <v>4608</v>
      </c>
      <c r="I142" s="17" t="s">
        <v>727</v>
      </c>
      <c r="J142" s="19">
        <f>IF(H142&gt;0,(H142*VLOOKUP(Lookups!$K$11,Lookups!$M$10:$P$40,4,0)/VLOOKUP(I142,Lookups!$M$10:$P$40,4,0)),"")</f>
        <v>4751.9447039999995</v>
      </c>
      <c r="K142" s="15"/>
      <c r="L142" s="17"/>
      <c r="M142" s="19" t="str">
        <f>IF(K142&gt;0,(K142*VLOOKUP(Lookups!$K$11,Lookups!$M$10:$P$40,4,0)/VLOOKUP(L142,Lookups!$M$10:$P$40,4,0)),"")</f>
        <v/>
      </c>
      <c r="N142" s="15"/>
      <c r="O142" s="17"/>
      <c r="P142" s="19" t="str">
        <f>IF(N142&gt;0,(N142*VLOOKUP(Lookups!$K$11,Lookups!$M$10:$P$40,4,0)/VLOOKUP(O142,Lookups!$M$10:$P$40,4,0)),"")</f>
        <v/>
      </c>
      <c r="Q142" s="77" t="s">
        <v>418</v>
      </c>
      <c r="R142" s="17" t="s">
        <v>621</v>
      </c>
      <c r="S142" s="13" t="s">
        <v>419</v>
      </c>
      <c r="T142" s="4" t="s">
        <v>1912</v>
      </c>
      <c r="U142" s="110" t="s">
        <v>305</v>
      </c>
    </row>
    <row r="143" spans="1:21" s="58" customFormat="1" ht="60" hidden="1" customHeight="1" outlineLevel="2" x14ac:dyDescent="0.2">
      <c r="A143" s="37" t="s">
        <v>688</v>
      </c>
      <c r="B143" s="37" t="s">
        <v>699</v>
      </c>
      <c r="C143" s="37" t="s">
        <v>1605</v>
      </c>
      <c r="D143" s="45" t="s">
        <v>439</v>
      </c>
      <c r="E143" s="13" t="s">
        <v>628</v>
      </c>
      <c r="F143" s="13" t="s">
        <v>629</v>
      </c>
      <c r="G143" s="13" t="s">
        <v>225</v>
      </c>
      <c r="H143" s="15">
        <v>42</v>
      </c>
      <c r="I143" s="17" t="s">
        <v>727</v>
      </c>
      <c r="J143" s="19">
        <f>IF(H143&gt;0,(H143*VLOOKUP(Lookups!$K$11,Lookups!$M$10:$P$40,4,0)/VLOOKUP(I143,Lookups!$M$10:$P$40,4,0)),"")</f>
        <v>43.311995999999994</v>
      </c>
      <c r="K143" s="15"/>
      <c r="L143" s="17"/>
      <c r="M143" s="19" t="str">
        <f>IF(K143&gt;0,(K143*VLOOKUP(Lookups!$K$11,Lookups!$M$10:$P$40,4,0)/VLOOKUP(L143,Lookups!$M$10:$P$40,4,0)),"")</f>
        <v/>
      </c>
      <c r="N143" s="15"/>
      <c r="O143" s="17"/>
      <c r="P143" s="19" t="str">
        <f>IF(N143&gt;0,(N143*VLOOKUP(Lookups!$K$11,Lookups!$M$10:$P$40,4,0)/VLOOKUP(O143,Lookups!$M$10:$P$40,4,0)),"")</f>
        <v/>
      </c>
      <c r="Q143" s="77" t="s">
        <v>418</v>
      </c>
      <c r="R143" s="17" t="s">
        <v>621</v>
      </c>
      <c r="S143" s="13" t="s">
        <v>420</v>
      </c>
      <c r="T143" s="4" t="s">
        <v>1912</v>
      </c>
      <c r="U143" s="110" t="s">
        <v>305</v>
      </c>
    </row>
    <row r="144" spans="1:21" s="57" customFormat="1" ht="60" hidden="1" customHeight="1" outlineLevel="1" x14ac:dyDescent="0.2">
      <c r="A144" s="46" t="s">
        <v>688</v>
      </c>
      <c r="B144" s="46" t="s">
        <v>699</v>
      </c>
      <c r="C144" s="46" t="s">
        <v>1964</v>
      </c>
      <c r="D144" s="46" t="s">
        <v>571</v>
      </c>
      <c r="E144" s="13" t="s">
        <v>1371</v>
      </c>
      <c r="F144" s="13" t="s">
        <v>629</v>
      </c>
      <c r="G144" s="13" t="s">
        <v>225</v>
      </c>
      <c r="H144" s="15">
        <v>5015</v>
      </c>
      <c r="I144" s="17" t="s">
        <v>727</v>
      </c>
      <c r="J144" s="19">
        <f>IF(H144&gt;0,(H144*VLOOKUP(Lookups!$K$11,Lookups!$M$10:$P$40,4,0)/VLOOKUP(I144,Lookups!$M$10:$P$40,4,0)),"")</f>
        <v>5171.6585699999996</v>
      </c>
      <c r="K144" s="15"/>
      <c r="L144" s="17"/>
      <c r="M144" s="19" t="str">
        <f>IF(K144&gt;0,(K144*VLOOKUP(Lookups!$K$11,Lookups!$M$10:$P$40,4,0)/VLOOKUP(L144,Lookups!$M$10:$P$40,4,0)),"")</f>
        <v/>
      </c>
      <c r="N144" s="15"/>
      <c r="O144" s="17"/>
      <c r="P144" s="19" t="str">
        <f>IF(N144&gt;0,(N144*VLOOKUP(Lookups!$K$11,Lookups!$M$10:$P$40,4,0)/VLOOKUP(O144,Lookups!$M$10:$P$40,4,0)),"")</f>
        <v/>
      </c>
      <c r="Q144" s="77" t="s">
        <v>421</v>
      </c>
      <c r="R144" s="17" t="s">
        <v>621</v>
      </c>
      <c r="S144" s="13" t="s">
        <v>422</v>
      </c>
      <c r="T144" s="4" t="s">
        <v>1912</v>
      </c>
      <c r="U144" s="110" t="s">
        <v>305</v>
      </c>
    </row>
    <row r="145" spans="1:21" s="58" customFormat="1" ht="60" hidden="1" customHeight="1" outlineLevel="2" x14ac:dyDescent="0.2">
      <c r="A145" s="37" t="s">
        <v>688</v>
      </c>
      <c r="B145" s="37" t="s">
        <v>699</v>
      </c>
      <c r="C145" s="37" t="s">
        <v>1606</v>
      </c>
      <c r="D145" s="45" t="s">
        <v>440</v>
      </c>
      <c r="E145" s="13" t="s">
        <v>628</v>
      </c>
      <c r="F145" s="13" t="s">
        <v>629</v>
      </c>
      <c r="G145" s="13" t="s">
        <v>225</v>
      </c>
      <c r="H145" s="15">
        <v>56</v>
      </c>
      <c r="I145" s="17" t="s">
        <v>727</v>
      </c>
      <c r="J145" s="19">
        <f>IF(H145&gt;0,(H145*VLOOKUP(Lookups!$K$11,Lookups!$M$10:$P$40,4,0)/VLOOKUP(I145,Lookups!$M$10:$P$40,4,0)),"")</f>
        <v>57.749327999999998</v>
      </c>
      <c r="K145" s="15"/>
      <c r="L145" s="17"/>
      <c r="M145" s="19" t="str">
        <f>IF(K145&gt;0,(K145*VLOOKUP(Lookups!$K$11,Lookups!$M$10:$P$40,4,0)/VLOOKUP(L145,Lookups!$M$10:$P$40,4,0)),"")</f>
        <v/>
      </c>
      <c r="N145" s="15"/>
      <c r="O145" s="17"/>
      <c r="P145" s="19" t="str">
        <f>IF(N145&gt;0,(N145*VLOOKUP(Lookups!$K$11,Lookups!$M$10:$P$40,4,0)/VLOOKUP(O145,Lookups!$M$10:$P$40,4,0)),"")</f>
        <v/>
      </c>
      <c r="Q145" s="77" t="s">
        <v>421</v>
      </c>
      <c r="R145" s="17" t="s">
        <v>621</v>
      </c>
      <c r="S145" s="13" t="s">
        <v>423</v>
      </c>
      <c r="T145" s="4" t="s">
        <v>1912</v>
      </c>
      <c r="U145" s="110" t="s">
        <v>305</v>
      </c>
    </row>
    <row r="146" spans="1:21" s="58" customFormat="1" ht="60" hidden="1" customHeight="1" outlineLevel="1" x14ac:dyDescent="0.2">
      <c r="A146" s="46" t="s">
        <v>688</v>
      </c>
      <c r="B146" s="46" t="s">
        <v>699</v>
      </c>
      <c r="C146" s="46" t="s">
        <v>1965</v>
      </c>
      <c r="D146" s="46" t="s">
        <v>572</v>
      </c>
      <c r="E146" s="13" t="s">
        <v>1371</v>
      </c>
      <c r="F146" s="13" t="s">
        <v>629</v>
      </c>
      <c r="G146" s="13" t="s">
        <v>225</v>
      </c>
      <c r="H146" s="15">
        <v>4059</v>
      </c>
      <c r="I146" s="17" t="s">
        <v>727</v>
      </c>
      <c r="J146" s="19">
        <f>IF(H146&gt;0,(H146*VLOOKUP(Lookups!$K$11,Lookups!$M$10:$P$40,4,0)/VLOOKUP(I146,Lookups!$M$10:$P$40,4,0)),"")</f>
        <v>4185.7950419999997</v>
      </c>
      <c r="K146" s="15"/>
      <c r="L146" s="17"/>
      <c r="M146" s="19" t="str">
        <f>IF(K146&gt;0,(K146*VLOOKUP(Lookups!$K$11,Lookups!$M$10:$P$40,4,0)/VLOOKUP(L146,Lookups!$M$10:$P$40,4,0)),"")</f>
        <v/>
      </c>
      <c r="N146" s="15"/>
      <c r="O146" s="17"/>
      <c r="P146" s="19" t="str">
        <f>IF(N146&gt;0,(N146*VLOOKUP(Lookups!$K$11,Lookups!$M$10:$P$40,4,0)/VLOOKUP(O146,Lookups!$M$10:$P$40,4,0)),"")</f>
        <v/>
      </c>
      <c r="Q146" s="77" t="s">
        <v>424</v>
      </c>
      <c r="R146" s="17" t="s">
        <v>621</v>
      </c>
      <c r="S146" s="13" t="s">
        <v>425</v>
      </c>
      <c r="T146" s="4" t="s">
        <v>1912</v>
      </c>
      <c r="U146" s="110" t="s">
        <v>305</v>
      </c>
    </row>
    <row r="147" spans="1:21" s="58" customFormat="1" ht="60" hidden="1" customHeight="1" outlineLevel="2" x14ac:dyDescent="0.2">
      <c r="A147" s="37" t="s">
        <v>688</v>
      </c>
      <c r="B147" s="37" t="s">
        <v>699</v>
      </c>
      <c r="C147" s="37" t="s">
        <v>1607</v>
      </c>
      <c r="D147" s="45" t="s">
        <v>441</v>
      </c>
      <c r="E147" s="13" t="s">
        <v>628</v>
      </c>
      <c r="F147" s="13" t="s">
        <v>629</v>
      </c>
      <c r="G147" s="13" t="s">
        <v>225</v>
      </c>
      <c r="H147" s="15">
        <v>41</v>
      </c>
      <c r="I147" s="17" t="s">
        <v>727</v>
      </c>
      <c r="J147" s="19">
        <f>IF(H147&gt;0,(H147*VLOOKUP(Lookups!$K$11,Lookups!$M$10:$P$40,4,0)/VLOOKUP(I147,Lookups!$M$10:$P$40,4,0)),"")</f>
        <v>42.280757999999992</v>
      </c>
      <c r="K147" s="15"/>
      <c r="L147" s="17"/>
      <c r="M147" s="19" t="str">
        <f>IF(K147&gt;0,(K147*VLOOKUP(Lookups!$K$11,Lookups!$M$10:$P$40,4,0)/VLOOKUP(L147,Lookups!$M$10:$P$40,4,0)),"")</f>
        <v/>
      </c>
      <c r="N147" s="15"/>
      <c r="O147" s="17"/>
      <c r="P147" s="19" t="str">
        <f>IF(N147&gt;0,(N147*VLOOKUP(Lookups!$K$11,Lookups!$M$10:$P$40,4,0)/VLOOKUP(O147,Lookups!$M$10:$P$40,4,0)),"")</f>
        <v/>
      </c>
      <c r="Q147" s="77" t="s">
        <v>424</v>
      </c>
      <c r="R147" s="17" t="s">
        <v>621</v>
      </c>
      <c r="S147" s="13" t="s">
        <v>426</v>
      </c>
      <c r="T147" s="4" t="s">
        <v>1912</v>
      </c>
      <c r="U147" s="110" t="s">
        <v>305</v>
      </c>
    </row>
    <row r="148" spans="1:21" s="58" customFormat="1" ht="60" hidden="1" customHeight="1" outlineLevel="1" x14ac:dyDescent="0.2">
      <c r="A148" s="46" t="s">
        <v>688</v>
      </c>
      <c r="B148" s="46" t="s">
        <v>699</v>
      </c>
      <c r="C148" s="46" t="s">
        <v>1966</v>
      </c>
      <c r="D148" s="46" t="s">
        <v>573</v>
      </c>
      <c r="E148" s="13" t="s">
        <v>1371</v>
      </c>
      <c r="F148" s="13" t="s">
        <v>629</v>
      </c>
      <c r="G148" s="13" t="s">
        <v>225</v>
      </c>
      <c r="H148" s="15">
        <v>6236</v>
      </c>
      <c r="I148" s="17" t="s">
        <v>727</v>
      </c>
      <c r="J148" s="19">
        <f>IF(H148&gt;0,(H148*VLOOKUP(Lookups!$K$11,Lookups!$M$10:$P$40,4,0)/VLOOKUP(I148,Lookups!$M$10:$P$40,4,0)),"")</f>
        <v>6430.8001679999988</v>
      </c>
      <c r="K148" s="15"/>
      <c r="L148" s="17"/>
      <c r="M148" s="19" t="str">
        <f>IF(K148&gt;0,(K148*VLOOKUP(Lookups!$K$11,Lookups!$M$10:$P$40,4,0)/VLOOKUP(L148,Lookups!$M$10:$P$40,4,0)),"")</f>
        <v/>
      </c>
      <c r="N148" s="15"/>
      <c r="O148" s="17"/>
      <c r="P148" s="19" t="str">
        <f>IF(N148&gt;0,(N148*VLOOKUP(Lookups!$K$11,Lookups!$M$10:$P$40,4,0)/VLOOKUP(O148,Lookups!$M$10:$P$40,4,0)),"")</f>
        <v/>
      </c>
      <c r="Q148" s="77" t="s">
        <v>427</v>
      </c>
      <c r="R148" s="17" t="s">
        <v>621</v>
      </c>
      <c r="S148" s="13" t="s">
        <v>428</v>
      </c>
      <c r="T148" s="4" t="s">
        <v>1912</v>
      </c>
      <c r="U148" s="110" t="s">
        <v>305</v>
      </c>
    </row>
    <row r="149" spans="1:21" s="58" customFormat="1" ht="60" hidden="1" customHeight="1" outlineLevel="2" x14ac:dyDescent="0.2">
      <c r="A149" s="37" t="s">
        <v>688</v>
      </c>
      <c r="B149" s="37" t="s">
        <v>699</v>
      </c>
      <c r="C149" s="37" t="s">
        <v>1608</v>
      </c>
      <c r="D149" s="45" t="s">
        <v>442</v>
      </c>
      <c r="E149" s="13" t="s">
        <v>628</v>
      </c>
      <c r="F149" s="13" t="s">
        <v>629</v>
      </c>
      <c r="G149" s="13" t="s">
        <v>225</v>
      </c>
      <c r="H149" s="15">
        <v>44</v>
      </c>
      <c r="I149" s="17" t="s">
        <v>727</v>
      </c>
      <c r="J149" s="19">
        <f>IF(H149&gt;0,(H149*VLOOKUP(Lookups!$K$11,Lookups!$M$10:$P$40,4,0)/VLOOKUP(I149,Lookups!$M$10:$P$40,4,0)),"")</f>
        <v>45.374471999999997</v>
      </c>
      <c r="K149" s="15"/>
      <c r="L149" s="17"/>
      <c r="M149" s="19" t="str">
        <f>IF(K149&gt;0,(K149*VLOOKUP(Lookups!$K$11,Lookups!$M$10:$P$40,4,0)/VLOOKUP(L149,Lookups!$M$10:$P$40,4,0)),"")</f>
        <v/>
      </c>
      <c r="N149" s="15"/>
      <c r="O149" s="17"/>
      <c r="P149" s="19" t="str">
        <f>IF(N149&gt;0,(N149*VLOOKUP(Lookups!$K$11,Lookups!$M$10:$P$40,4,0)/VLOOKUP(O149,Lookups!$M$10:$P$40,4,0)),"")</f>
        <v/>
      </c>
      <c r="Q149" s="77" t="s">
        <v>427</v>
      </c>
      <c r="R149" s="17" t="s">
        <v>621</v>
      </c>
      <c r="S149" s="13" t="s">
        <v>429</v>
      </c>
      <c r="T149" s="4" t="s">
        <v>1912</v>
      </c>
      <c r="U149" s="110" t="s">
        <v>305</v>
      </c>
    </row>
    <row r="150" spans="1:21" s="58" customFormat="1" ht="60" hidden="1" customHeight="1" outlineLevel="1" x14ac:dyDescent="0.2">
      <c r="A150" s="46" t="s">
        <v>688</v>
      </c>
      <c r="B150" s="46" t="s">
        <v>699</v>
      </c>
      <c r="C150" s="46" t="s">
        <v>1967</v>
      </c>
      <c r="D150" s="46" t="s">
        <v>575</v>
      </c>
      <c r="E150" s="13" t="s">
        <v>620</v>
      </c>
      <c r="F150" s="13" t="s">
        <v>629</v>
      </c>
      <c r="G150" s="13" t="s">
        <v>225</v>
      </c>
      <c r="H150" s="15">
        <v>93</v>
      </c>
      <c r="I150" s="17" t="s">
        <v>727</v>
      </c>
      <c r="J150" s="19">
        <f>IF(H150&gt;0,(H150*VLOOKUP(Lookups!$K$11,Lookups!$M$10:$P$40,4,0)/VLOOKUP(I150,Lookups!$M$10:$P$40,4,0)),"")</f>
        <v>95.905133999999975</v>
      </c>
      <c r="K150" s="15"/>
      <c r="L150" s="17"/>
      <c r="M150" s="19" t="str">
        <f>IF(K150&gt;0,(K150*VLOOKUP(Lookups!$K$11,Lookups!$M$10:$P$40,4,0)/VLOOKUP(L150,Lookups!$M$10:$P$40,4,0)),"")</f>
        <v/>
      </c>
      <c r="N150" s="15"/>
      <c r="O150" s="17"/>
      <c r="P150" s="19" t="str">
        <f>IF(N150&gt;0,(N150*VLOOKUP(Lookups!$K$11,Lookups!$M$10:$P$40,4,0)/VLOOKUP(O150,Lookups!$M$10:$P$40,4,0)),"")</f>
        <v/>
      </c>
      <c r="Q150" s="77" t="s">
        <v>430</v>
      </c>
      <c r="R150" s="17" t="s">
        <v>621</v>
      </c>
      <c r="S150" s="13" t="s">
        <v>431</v>
      </c>
      <c r="T150" s="4" t="s">
        <v>1912</v>
      </c>
      <c r="U150" s="110" t="s">
        <v>305</v>
      </c>
    </row>
    <row r="151" spans="1:21" s="58" customFormat="1" ht="60" hidden="1" customHeight="1" outlineLevel="1" x14ac:dyDescent="0.2">
      <c r="A151" s="46" t="s">
        <v>688</v>
      </c>
      <c r="B151" s="46" t="s">
        <v>699</v>
      </c>
      <c r="C151" s="46" t="s">
        <v>346</v>
      </c>
      <c r="D151" s="46" t="s">
        <v>438</v>
      </c>
      <c r="E151" s="13" t="s">
        <v>628</v>
      </c>
      <c r="F151" s="13" t="s">
        <v>629</v>
      </c>
      <c r="G151" s="13" t="s">
        <v>225</v>
      </c>
      <c r="H151" s="15">
        <v>38</v>
      </c>
      <c r="I151" s="17" t="s">
        <v>727</v>
      </c>
      <c r="J151" s="19">
        <f>IF(H151&gt;0,(H151*VLOOKUP(Lookups!$K$11,Lookups!$M$10:$P$40,4,0)/VLOOKUP(I151,Lookups!$M$10:$P$40,4,0)),"")</f>
        <v>39.187043999999993</v>
      </c>
      <c r="K151" s="15"/>
      <c r="L151" s="17"/>
      <c r="M151" s="19" t="str">
        <f>IF(K151&gt;0,(K151*VLOOKUP(Lookups!$K$11,Lookups!$M$10:$P$40,4,0)/VLOOKUP(L151,Lookups!$M$10:$P$40,4,0)),"")</f>
        <v/>
      </c>
      <c r="N151" s="15"/>
      <c r="O151" s="17"/>
      <c r="P151" s="19" t="str">
        <f>IF(N151&gt;0,(N151*VLOOKUP(Lookups!$K$11,Lookups!$M$10:$P$40,4,0)/VLOOKUP(O151,Lookups!$M$10:$P$40,4,0)),"")</f>
        <v/>
      </c>
      <c r="Q151" s="77" t="s">
        <v>148</v>
      </c>
      <c r="R151" s="17" t="s">
        <v>621</v>
      </c>
      <c r="S151" s="13" t="s">
        <v>149</v>
      </c>
      <c r="T151" s="4" t="s">
        <v>1912</v>
      </c>
      <c r="U151" s="110" t="s">
        <v>305</v>
      </c>
    </row>
    <row r="152" spans="1:21" s="40" customFormat="1" ht="60" customHeight="1" collapsed="1" x14ac:dyDescent="0.2">
      <c r="A152" s="42" t="s">
        <v>688</v>
      </c>
      <c r="B152" s="42" t="s">
        <v>699</v>
      </c>
      <c r="C152" s="42" t="s">
        <v>1985</v>
      </c>
      <c r="D152" s="42" t="s">
        <v>344</v>
      </c>
      <c r="E152" s="13" t="s">
        <v>1342</v>
      </c>
      <c r="F152" s="13" t="s">
        <v>679</v>
      </c>
      <c r="G152" s="4" t="s">
        <v>629</v>
      </c>
      <c r="H152" s="15">
        <v>1866</v>
      </c>
      <c r="I152" s="17" t="s">
        <v>661</v>
      </c>
      <c r="J152" s="19">
        <f>IF(H152&gt;0,(H152*VLOOKUP(Lookups!$K$11,Lookups!$M$10:$P$40,4,0)/VLOOKUP(I152,Lookups!$M$10:$P$40,4,0)),"")</f>
        <v>2196.6495436091518</v>
      </c>
      <c r="K152" s="15">
        <v>3755</v>
      </c>
      <c r="L152" s="17" t="s">
        <v>661</v>
      </c>
      <c r="M152" s="19">
        <f>IF(K152&gt;0,(K152*VLOOKUP(Lookups!$K$11,Lookups!$M$10:$P$40,4,0)/VLOOKUP(L152,Lookups!$M$10:$P$40,4,0)),"")</f>
        <v>4420.3746174985881</v>
      </c>
      <c r="N152" s="15"/>
      <c r="O152" s="17"/>
      <c r="P152" s="19" t="str">
        <f>IF(N152&gt;0,(N152*VLOOKUP(Lookups!$K$11,Lookups!$M$10:$P$40,4,0)/VLOOKUP(O152,Lookups!$M$10:$P$40,4,0)),"")</f>
        <v/>
      </c>
      <c r="Q152" s="77" t="s">
        <v>556</v>
      </c>
      <c r="R152" s="17" t="s">
        <v>619</v>
      </c>
      <c r="S152" s="13" t="s">
        <v>1988</v>
      </c>
      <c r="T152" s="13" t="s">
        <v>1912</v>
      </c>
      <c r="U152" s="13" t="s">
        <v>378</v>
      </c>
    </row>
    <row r="153" spans="1:21" s="40" customFormat="1" ht="60" hidden="1" customHeight="1" outlineLevel="2" x14ac:dyDescent="0.2">
      <c r="A153" s="13" t="s">
        <v>688</v>
      </c>
      <c r="B153" s="13" t="s">
        <v>699</v>
      </c>
      <c r="C153" s="13" t="s">
        <v>1609</v>
      </c>
      <c r="D153" s="48" t="s">
        <v>559</v>
      </c>
      <c r="E153" s="13" t="s">
        <v>1342</v>
      </c>
      <c r="F153" s="13" t="s">
        <v>679</v>
      </c>
      <c r="G153" s="4" t="s">
        <v>1347</v>
      </c>
      <c r="H153" s="15">
        <v>1047</v>
      </c>
      <c r="I153" s="17" t="s">
        <v>661</v>
      </c>
      <c r="J153" s="19">
        <f>IF(H153&gt;0,(H153*VLOOKUP(Lookups!$K$11,Lookups!$M$10:$P$40,4,0)/VLOOKUP(I153,Lookups!$M$10:$P$40,4,0)),"")</f>
        <v>1232.5252262372894</v>
      </c>
      <c r="K153" s="15"/>
      <c r="L153" s="17"/>
      <c r="M153" s="19" t="str">
        <f>IF(K153&gt;0,(K153*VLOOKUP(Lookups!$K$11,Lookups!$M$10:$P$40,4,0)/VLOOKUP(L153,Lookups!$M$10:$P$40,4,0)),"")</f>
        <v/>
      </c>
      <c r="N153" s="15"/>
      <c r="O153" s="17"/>
      <c r="P153" s="19" t="str">
        <f>IF(N153&gt;0,(N153*VLOOKUP(Lookups!$K$11,Lookups!$M$10:$P$40,4,0)/VLOOKUP(O153,Lookups!$M$10:$P$40,4,0)),"")</f>
        <v/>
      </c>
      <c r="Q153" s="77" t="s">
        <v>556</v>
      </c>
      <c r="R153" s="17" t="s">
        <v>619</v>
      </c>
      <c r="S153" s="13" t="s">
        <v>602</v>
      </c>
      <c r="T153" s="13"/>
      <c r="U153" s="120" t="s">
        <v>2264</v>
      </c>
    </row>
    <row r="154" spans="1:21" s="40" customFormat="1" ht="60" hidden="1" customHeight="1" outlineLevel="2" x14ac:dyDescent="0.2">
      <c r="A154" s="13" t="s">
        <v>688</v>
      </c>
      <c r="B154" s="13" t="s">
        <v>699</v>
      </c>
      <c r="C154" s="13" t="s">
        <v>1610</v>
      </c>
      <c r="D154" s="48" t="s">
        <v>557</v>
      </c>
      <c r="E154" s="13" t="s">
        <v>1342</v>
      </c>
      <c r="F154" s="13" t="s">
        <v>629</v>
      </c>
      <c r="G154" s="13" t="s">
        <v>225</v>
      </c>
      <c r="H154" s="15">
        <v>806</v>
      </c>
      <c r="I154" s="17" t="s">
        <v>661</v>
      </c>
      <c r="J154" s="19">
        <f>IF(H154&gt;0,(H154*VLOOKUP(Lookups!$K$11,Lookups!$M$10:$P$40,4,0)/VLOOKUP(I154,Lookups!$M$10:$P$40,4,0)),"")</f>
        <v>948.82075677865839</v>
      </c>
      <c r="K154" s="15"/>
      <c r="L154" s="17"/>
      <c r="M154" s="19" t="str">
        <f>IF(K154&gt;0,(K154*VLOOKUP(Lookups!$K$11,Lookups!$M$10:$P$40,4,0)/VLOOKUP(L154,Lookups!$M$10:$P$40,4,0)),"")</f>
        <v/>
      </c>
      <c r="N154" s="15"/>
      <c r="O154" s="17"/>
      <c r="P154" s="19" t="str">
        <f>IF(N154&gt;0,(N154*VLOOKUP(Lookups!$K$11,Lookups!$M$10:$P$40,4,0)/VLOOKUP(O154,Lookups!$M$10:$P$40,4,0)),"")</f>
        <v/>
      </c>
      <c r="Q154" s="77" t="s">
        <v>556</v>
      </c>
      <c r="R154" s="17" t="s">
        <v>619</v>
      </c>
      <c r="S154" s="13" t="s">
        <v>521</v>
      </c>
      <c r="T154" s="13"/>
      <c r="U154" s="120" t="s">
        <v>2264</v>
      </c>
    </row>
    <row r="155" spans="1:21" s="40" customFormat="1" ht="60" hidden="1" customHeight="1" outlineLevel="2" x14ac:dyDescent="0.2">
      <c r="A155" s="13" t="s">
        <v>688</v>
      </c>
      <c r="B155" s="13" t="s">
        <v>699</v>
      </c>
      <c r="C155" s="13" t="s">
        <v>1611</v>
      </c>
      <c r="D155" s="48" t="s">
        <v>558</v>
      </c>
      <c r="E155" s="13" t="s">
        <v>1342</v>
      </c>
      <c r="F155" s="13" t="s">
        <v>614</v>
      </c>
      <c r="G155" s="4" t="s">
        <v>669</v>
      </c>
      <c r="H155" s="15">
        <v>13</v>
      </c>
      <c r="I155" s="17" t="s">
        <v>661</v>
      </c>
      <c r="J155" s="19">
        <f>IF(H155&gt;0,(H155*VLOOKUP(Lookups!$K$11,Lookups!$M$10:$P$40,4,0)/VLOOKUP(I155,Lookups!$M$10:$P$40,4,0)),"")</f>
        <v>15.303560593204166</v>
      </c>
      <c r="K155" s="15"/>
      <c r="L155" s="17"/>
      <c r="M155" s="19" t="str">
        <f>IF(K155&gt;0,(K155*VLOOKUP(Lookups!$K$11,Lookups!$M$10:$P$40,4,0)/VLOOKUP(L155,Lookups!$M$10:$P$40,4,0)),"")</f>
        <v/>
      </c>
      <c r="N155" s="15"/>
      <c r="O155" s="17"/>
      <c r="P155" s="19" t="str">
        <f>IF(N155&gt;0,(N155*VLOOKUP(Lookups!$K$11,Lookups!$M$10:$P$40,4,0)/VLOOKUP(O155,Lookups!$M$10:$P$40,4,0)),"")</f>
        <v/>
      </c>
      <c r="Q155" s="77" t="s">
        <v>556</v>
      </c>
      <c r="R155" s="17" t="s">
        <v>619</v>
      </c>
      <c r="S155" s="13" t="s">
        <v>522</v>
      </c>
      <c r="T155" s="13"/>
      <c r="U155" s="120" t="s">
        <v>2264</v>
      </c>
    </row>
    <row r="156" spans="1:21" s="40" customFormat="1" ht="60" hidden="1" customHeight="1" outlineLevel="1" x14ac:dyDescent="0.2">
      <c r="A156" s="46" t="s">
        <v>688</v>
      </c>
      <c r="B156" s="46" t="s">
        <v>699</v>
      </c>
      <c r="C156" s="46" t="s">
        <v>979</v>
      </c>
      <c r="D156" s="46" t="s">
        <v>345</v>
      </c>
      <c r="E156" s="13" t="s">
        <v>1342</v>
      </c>
      <c r="F156" s="13" t="s">
        <v>629</v>
      </c>
      <c r="G156" s="4" t="s">
        <v>1384</v>
      </c>
      <c r="H156" s="15">
        <v>822</v>
      </c>
      <c r="I156" s="17" t="s">
        <v>661</v>
      </c>
      <c r="J156" s="19">
        <f>IF(H156&gt;0,(H156*VLOOKUP(Lookups!$K$11,Lookups!$M$10:$P$40,4,0)/VLOOKUP(I156,Lookups!$M$10:$P$40,4,0)),"")</f>
        <v>967.65590827798644</v>
      </c>
      <c r="K156" s="15">
        <v>3362</v>
      </c>
      <c r="L156" s="17" t="s">
        <v>661</v>
      </c>
      <c r="M156" s="19">
        <f>IF(K156&gt;0,(K156*VLOOKUP(Lookups!$K$11,Lookups!$M$10:$P$40,4,0)/VLOOKUP(L156,Lookups!$M$10:$P$40,4,0)),"")</f>
        <v>3957.7362087963388</v>
      </c>
      <c r="N156" s="15"/>
      <c r="O156" s="17"/>
      <c r="P156" s="19" t="str">
        <f>IF(N156&gt;0,(N156*VLOOKUP(Lookups!$K$11,Lookups!$M$10:$P$40,4,0)/VLOOKUP(O156,Lookups!$M$10:$P$40,4,0)),"")</f>
        <v/>
      </c>
      <c r="Q156" s="77" t="s">
        <v>600</v>
      </c>
      <c r="R156" s="17" t="s">
        <v>619</v>
      </c>
      <c r="S156" s="13" t="s">
        <v>2047</v>
      </c>
      <c r="T156" s="13" t="s">
        <v>1912</v>
      </c>
      <c r="U156" s="13" t="s">
        <v>378</v>
      </c>
    </row>
    <row r="157" spans="1:21" s="40" customFormat="1" ht="60" hidden="1" customHeight="1" outlineLevel="2" x14ac:dyDescent="0.2">
      <c r="A157" s="37" t="s">
        <v>688</v>
      </c>
      <c r="B157" s="37" t="s">
        <v>699</v>
      </c>
      <c r="C157" s="13" t="s">
        <v>1612</v>
      </c>
      <c r="D157" s="45" t="s">
        <v>524</v>
      </c>
      <c r="E157" s="13" t="s">
        <v>1342</v>
      </c>
      <c r="F157" s="13" t="s">
        <v>629</v>
      </c>
      <c r="G157" s="13" t="s">
        <v>225</v>
      </c>
      <c r="H157" s="15">
        <v>717</v>
      </c>
      <c r="I157" s="17" t="s">
        <v>661</v>
      </c>
      <c r="J157" s="19">
        <f>IF(H157&gt;0,(H157*VLOOKUP(Lookups!$K$11,Lookups!$M$10:$P$40,4,0)/VLOOKUP(I157,Lookups!$M$10:$P$40,4,0)),"")</f>
        <v>844.0502265636452</v>
      </c>
      <c r="K157" s="15"/>
      <c r="L157" s="17"/>
      <c r="M157" s="19" t="str">
        <f>IF(K157&gt;0,(K157*VLOOKUP(Lookups!$K$11,Lookups!$M$10:$P$40,4,0)/VLOOKUP(L157,Lookups!$M$10:$P$40,4,0)),"")</f>
        <v/>
      </c>
      <c r="N157" s="15"/>
      <c r="O157" s="17"/>
      <c r="P157" s="19" t="str">
        <f>IF(N157&gt;0,(N157*VLOOKUP(Lookups!$K$11,Lookups!$M$10:$P$40,4,0)/VLOOKUP(O157,Lookups!$M$10:$P$40,4,0)),"")</f>
        <v/>
      </c>
      <c r="Q157" s="77" t="s">
        <v>600</v>
      </c>
      <c r="R157" s="17" t="s">
        <v>619</v>
      </c>
      <c r="S157" s="13" t="s">
        <v>859</v>
      </c>
      <c r="T157" s="13"/>
      <c r="U157" s="120" t="s">
        <v>2264</v>
      </c>
    </row>
    <row r="158" spans="1:21" s="40" customFormat="1" ht="60" hidden="1" customHeight="1" outlineLevel="2" x14ac:dyDescent="0.2">
      <c r="A158" s="37" t="s">
        <v>688</v>
      </c>
      <c r="B158" s="37" t="s">
        <v>699</v>
      </c>
      <c r="C158" s="37" t="s">
        <v>1613</v>
      </c>
      <c r="D158" s="45" t="s">
        <v>523</v>
      </c>
      <c r="E158" s="13" t="s">
        <v>1342</v>
      </c>
      <c r="F158" s="13" t="s">
        <v>679</v>
      </c>
      <c r="G158" s="4" t="s">
        <v>1347</v>
      </c>
      <c r="H158" s="15">
        <v>91</v>
      </c>
      <c r="I158" s="17" t="s">
        <v>661</v>
      </c>
      <c r="J158" s="19">
        <f>IF(H158&gt;0,(H158*VLOOKUP(Lookups!$K$11,Lookups!$M$10:$P$40,4,0)/VLOOKUP(I158,Lookups!$M$10:$P$40,4,0)),"")</f>
        <v>107.12492415242917</v>
      </c>
      <c r="K158" s="15"/>
      <c r="L158" s="17"/>
      <c r="M158" s="19" t="str">
        <f>IF(K158&gt;0,(K158*VLOOKUP(Lookups!$K$11,Lookups!$M$10:$P$40,4,0)/VLOOKUP(L158,Lookups!$M$10:$P$40,4,0)),"")</f>
        <v/>
      </c>
      <c r="N158" s="15"/>
      <c r="O158" s="17"/>
      <c r="P158" s="19" t="str">
        <f>IF(N158&gt;0,(N158*VLOOKUP(Lookups!$K$11,Lookups!$M$10:$P$40,4,0)/VLOOKUP(O158,Lookups!$M$10:$P$40,4,0)),"")</f>
        <v/>
      </c>
      <c r="Q158" s="77" t="s">
        <v>600</v>
      </c>
      <c r="R158" s="17" t="s">
        <v>619</v>
      </c>
      <c r="S158" s="13" t="s">
        <v>860</v>
      </c>
      <c r="T158" s="13"/>
      <c r="U158" s="120" t="s">
        <v>2264</v>
      </c>
    </row>
    <row r="159" spans="1:21" s="40" customFormat="1" ht="60" hidden="1" customHeight="1" outlineLevel="2" x14ac:dyDescent="0.2">
      <c r="A159" s="37" t="s">
        <v>688</v>
      </c>
      <c r="B159" s="37" t="s">
        <v>699</v>
      </c>
      <c r="C159" s="37" t="s">
        <v>1614</v>
      </c>
      <c r="D159" s="45" t="s">
        <v>525</v>
      </c>
      <c r="E159" s="13" t="s">
        <v>1342</v>
      </c>
      <c r="F159" s="13" t="s">
        <v>614</v>
      </c>
      <c r="G159" s="4" t="s">
        <v>669</v>
      </c>
      <c r="H159" s="15">
        <v>14</v>
      </c>
      <c r="I159" s="17" t="s">
        <v>661</v>
      </c>
      <c r="J159" s="19">
        <f>IF(H159&gt;0,(H159*VLOOKUP(Lookups!$K$11,Lookups!$M$10:$P$40,4,0)/VLOOKUP(I159,Lookups!$M$10:$P$40,4,0)),"")</f>
        <v>16.480757561912178</v>
      </c>
      <c r="K159" s="15"/>
      <c r="L159" s="17"/>
      <c r="M159" s="19" t="str">
        <f>IF(K159&gt;0,(K159*VLOOKUP(Lookups!$K$11,Lookups!$M$10:$P$40,4,0)/VLOOKUP(L159,Lookups!$M$10:$P$40,4,0)),"")</f>
        <v/>
      </c>
      <c r="N159" s="15"/>
      <c r="O159" s="17"/>
      <c r="P159" s="19" t="str">
        <f>IF(N159&gt;0,(N159*VLOOKUP(Lookups!$K$11,Lookups!$M$10:$P$40,4,0)/VLOOKUP(O159,Lookups!$M$10:$P$40,4,0)),"")</f>
        <v/>
      </c>
      <c r="Q159" s="77" t="s">
        <v>600</v>
      </c>
      <c r="R159" s="17" t="s">
        <v>619</v>
      </c>
      <c r="S159" s="13" t="s">
        <v>1258</v>
      </c>
      <c r="T159" s="13"/>
      <c r="U159" s="120" t="s">
        <v>2264</v>
      </c>
    </row>
    <row r="160" spans="1:21" s="58" customFormat="1" ht="60" customHeight="1" collapsed="1" x14ac:dyDescent="0.2">
      <c r="A160" s="44" t="s">
        <v>688</v>
      </c>
      <c r="B160" s="44" t="s">
        <v>699</v>
      </c>
      <c r="C160" s="44" t="s">
        <v>1986</v>
      </c>
      <c r="D160" s="44" t="s">
        <v>2479</v>
      </c>
      <c r="E160" s="13" t="s">
        <v>1372</v>
      </c>
      <c r="F160" s="13" t="s">
        <v>629</v>
      </c>
      <c r="G160" s="13" t="s">
        <v>225</v>
      </c>
      <c r="H160" s="15">
        <v>429</v>
      </c>
      <c r="I160" s="17" t="s">
        <v>665</v>
      </c>
      <c r="J160" s="19">
        <f>IF(H160&gt;0,(H160*VLOOKUP(Lookups!$K$11,Lookups!$M$10:$P$40,4,0)/VLOOKUP(I160,Lookups!$M$10:$P$40,4,0)),"")</f>
        <v>459.08522089262277</v>
      </c>
      <c r="K160" s="15"/>
      <c r="L160" s="17"/>
      <c r="M160" s="19" t="str">
        <f>IF(K160&gt;0,(K160*VLOOKUP(Lookups!$K$11,Lookups!$M$10:$P$40,4,0)/VLOOKUP(L160,Lookups!$M$10:$P$40,4,0)),"")</f>
        <v/>
      </c>
      <c r="N160" s="15"/>
      <c r="O160" s="17"/>
      <c r="P160" s="19" t="str">
        <f>IF(N160&gt;0,(N160*VLOOKUP(Lookups!$K$11,Lookups!$M$10:$P$40,4,0)/VLOOKUP(O160,Lookups!$M$10:$P$40,4,0)),"")</f>
        <v/>
      </c>
      <c r="Q160" s="78" t="s">
        <v>579</v>
      </c>
      <c r="R160" s="17" t="s">
        <v>621</v>
      </c>
      <c r="S160" s="13" t="s">
        <v>2493</v>
      </c>
      <c r="T160" s="4" t="s">
        <v>1912</v>
      </c>
      <c r="U160" s="13" t="s">
        <v>2480</v>
      </c>
    </row>
    <row r="161" spans="1:21" s="58" customFormat="1" ht="60" hidden="1" customHeight="1" outlineLevel="2" x14ac:dyDescent="0.2">
      <c r="A161" s="37" t="s">
        <v>688</v>
      </c>
      <c r="B161" s="37" t="s">
        <v>699</v>
      </c>
      <c r="C161" s="13" t="s">
        <v>2490</v>
      </c>
      <c r="D161" s="45" t="s">
        <v>2482</v>
      </c>
      <c r="E161" s="13" t="s">
        <v>1372</v>
      </c>
      <c r="F161" s="13" t="s">
        <v>629</v>
      </c>
      <c r="G161" s="13" t="s">
        <v>225</v>
      </c>
      <c r="H161" s="15">
        <v>410</v>
      </c>
      <c r="I161" s="17" t="s">
        <v>665</v>
      </c>
      <c r="J161" s="19">
        <f>IF(H161&gt;0,(H161*VLOOKUP(Lookups!$K$11,Lookups!$M$10:$P$40,4,0)/VLOOKUP(I161,Lookups!$M$10:$P$40,4,0)),"")</f>
        <v>438.75277521206374</v>
      </c>
      <c r="K161" s="15"/>
      <c r="L161" s="17"/>
      <c r="M161" s="19" t="str">
        <f>IF(K161&gt;0,(K161*VLOOKUP(Lookups!$K$11,Lookups!$M$10:$P$40,4,0)/VLOOKUP(L161,Lookups!$M$10:$P$40,4,0)),"")</f>
        <v/>
      </c>
      <c r="N161" s="15"/>
      <c r="O161" s="17"/>
      <c r="P161" s="19" t="str">
        <f>IF(N161&gt;0,(N161*VLOOKUP(Lookups!$K$11,Lookups!$M$10:$P$40,4,0)/VLOOKUP(O161,Lookups!$M$10:$P$40,4,0)),"")</f>
        <v/>
      </c>
      <c r="Q161" s="78" t="s">
        <v>2483</v>
      </c>
      <c r="R161" s="17" t="s">
        <v>621</v>
      </c>
      <c r="S161" s="13" t="s">
        <v>2485</v>
      </c>
      <c r="T161" s="4" t="s">
        <v>1911</v>
      </c>
      <c r="U161" s="13" t="s">
        <v>2492</v>
      </c>
    </row>
    <row r="162" spans="1:21" s="58" customFormat="1" ht="60" hidden="1" customHeight="1" outlineLevel="2" x14ac:dyDescent="0.2">
      <c r="A162" s="37" t="s">
        <v>688</v>
      </c>
      <c r="B162" s="37" t="s">
        <v>699</v>
      </c>
      <c r="C162" s="37" t="s">
        <v>2491</v>
      </c>
      <c r="D162" s="45" t="s">
        <v>2487</v>
      </c>
      <c r="E162" s="13" t="s">
        <v>1372</v>
      </c>
      <c r="F162" s="13" t="s">
        <v>629</v>
      </c>
      <c r="G162" s="13" t="s">
        <v>225</v>
      </c>
      <c r="H162" s="15">
        <v>487</v>
      </c>
      <c r="I162" s="17" t="s">
        <v>665</v>
      </c>
      <c r="J162" s="19">
        <f>IF(H162&gt;0,(H162*VLOOKUP(Lookups!$K$11,Lookups!$M$10:$P$40,4,0)/VLOOKUP(I162,Lookups!$M$10:$P$40,4,0)),"")</f>
        <v>521.15268665432939</v>
      </c>
      <c r="K162" s="15"/>
      <c r="L162" s="17"/>
      <c r="M162" s="19" t="str">
        <f>IF(K162&gt;0,(K162*VLOOKUP(Lookups!$K$11,Lookups!$M$10:$P$40,4,0)/VLOOKUP(L162,Lookups!$M$10:$P$40,4,0)),"")</f>
        <v/>
      </c>
      <c r="N162" s="15"/>
      <c r="O162" s="17"/>
      <c r="P162" s="19" t="str">
        <f>IF(N162&gt;0,(N162*VLOOKUP(Lookups!$K$11,Lookups!$M$10:$P$40,4,0)/VLOOKUP(O162,Lookups!$M$10:$P$40,4,0)),"")</f>
        <v/>
      </c>
      <c r="Q162" s="78" t="s">
        <v>2488</v>
      </c>
      <c r="R162" s="17" t="s">
        <v>621</v>
      </c>
      <c r="S162" s="13" t="s">
        <v>2489</v>
      </c>
      <c r="T162" s="4" t="s">
        <v>1911</v>
      </c>
      <c r="U162" s="13" t="s">
        <v>2486</v>
      </c>
    </row>
    <row r="163" spans="1:21" s="58" customFormat="1" ht="60" hidden="1" customHeight="1" outlineLevel="1" x14ac:dyDescent="0.2">
      <c r="A163" s="46" t="s">
        <v>688</v>
      </c>
      <c r="B163" s="46" t="s">
        <v>699</v>
      </c>
      <c r="C163" s="46" t="s">
        <v>980</v>
      </c>
      <c r="D163" s="46" t="s">
        <v>2481</v>
      </c>
      <c r="E163" s="13" t="s">
        <v>1372</v>
      </c>
      <c r="F163" s="13" t="s">
        <v>629</v>
      </c>
      <c r="G163" s="13" t="s">
        <v>225</v>
      </c>
      <c r="H163" s="15">
        <v>632</v>
      </c>
      <c r="I163" s="17" t="s">
        <v>665</v>
      </c>
      <c r="J163" s="19">
        <f>IF(H163&gt;0,(H163*VLOOKUP(Lookups!$K$11,Lookups!$M$10:$P$40,4,0)/VLOOKUP(I163,Lookups!$M$10:$P$40,4,0)),"")</f>
        <v>676.32135105859572</v>
      </c>
      <c r="K163" s="15"/>
      <c r="L163" s="17"/>
      <c r="M163" s="19" t="str">
        <f>IF(K163&gt;0,(K163*VLOOKUP(Lookups!$K$11,Lookups!$M$10:$P$40,4,0)/VLOOKUP(L163,Lookups!$M$10:$P$40,4,0)),"")</f>
        <v/>
      </c>
      <c r="N163" s="15"/>
      <c r="O163" s="17"/>
      <c r="P163" s="19" t="str">
        <f>IF(N163&gt;0,(N163*VLOOKUP(Lookups!$K$11,Lookups!$M$10:$P$40,4,0)/VLOOKUP(O163,Lookups!$M$10:$P$40,4,0)),"")</f>
        <v/>
      </c>
      <c r="Q163" s="78" t="s">
        <v>577</v>
      </c>
      <c r="R163" s="17" t="s">
        <v>621</v>
      </c>
      <c r="S163" s="13" t="s">
        <v>2484</v>
      </c>
      <c r="T163" s="4" t="s">
        <v>1912</v>
      </c>
      <c r="U163" s="13" t="s">
        <v>169</v>
      </c>
    </row>
    <row r="164" spans="1:21" s="58" customFormat="1" ht="60" hidden="1" customHeight="1" outlineLevel="1" x14ac:dyDescent="0.2">
      <c r="A164" s="46" t="s">
        <v>688</v>
      </c>
      <c r="B164" s="46" t="s">
        <v>699</v>
      </c>
      <c r="C164" s="46" t="s">
        <v>981</v>
      </c>
      <c r="D164" s="46" t="s">
        <v>580</v>
      </c>
      <c r="E164" s="13" t="s">
        <v>1372</v>
      </c>
      <c r="F164" s="13" t="s">
        <v>629</v>
      </c>
      <c r="G164" s="13" t="s">
        <v>225</v>
      </c>
      <c r="H164" s="15">
        <v>526</v>
      </c>
      <c r="I164" s="17" t="s">
        <v>665</v>
      </c>
      <c r="J164" s="19">
        <f>IF(H164&gt;0,(H164*VLOOKUP(Lookups!$K$11,Lookups!$M$10:$P$40,4,0)/VLOOKUP(I164,Lookups!$M$10:$P$40,4,0)),"")</f>
        <v>562.88770673547685</v>
      </c>
      <c r="K164" s="15"/>
      <c r="L164" s="17"/>
      <c r="M164" s="19" t="str">
        <f>IF(K164&gt;0,(K164*VLOOKUP(Lookups!$K$11,Lookups!$M$10:$P$40,4,0)/VLOOKUP(L164,Lookups!$M$10:$P$40,4,0)),"")</f>
        <v/>
      </c>
      <c r="N164" s="15"/>
      <c r="O164" s="17"/>
      <c r="P164" s="19" t="str">
        <f>IF(N164&gt;0,(N164*VLOOKUP(Lookups!$K$11,Lookups!$M$10:$P$40,4,0)/VLOOKUP(O164,Lookups!$M$10:$P$40,4,0)),"")</f>
        <v/>
      </c>
      <c r="Q164" s="78" t="s">
        <v>582</v>
      </c>
      <c r="R164" s="17" t="s">
        <v>621</v>
      </c>
      <c r="S164" s="13" t="s">
        <v>581</v>
      </c>
      <c r="T164" s="4"/>
      <c r="U164" s="120" t="s">
        <v>272</v>
      </c>
    </row>
    <row r="165" spans="1:21" s="58" customFormat="1" ht="60" customHeight="1" x14ac:dyDescent="0.2">
      <c r="A165" s="44" t="s">
        <v>688</v>
      </c>
      <c r="B165" s="44" t="s">
        <v>699</v>
      </c>
      <c r="C165" s="44" t="s">
        <v>1987</v>
      </c>
      <c r="D165" s="44" t="s">
        <v>583</v>
      </c>
      <c r="E165" s="13" t="s">
        <v>1428</v>
      </c>
      <c r="F165" s="13" t="s">
        <v>629</v>
      </c>
      <c r="G165" s="13" t="s">
        <v>225</v>
      </c>
      <c r="H165" s="15">
        <v>140</v>
      </c>
      <c r="I165" s="17" t="s">
        <v>665</v>
      </c>
      <c r="J165" s="19">
        <f>IF(H165&gt;0,(H165*VLOOKUP(Lookups!$K$11,Lookups!$M$10:$P$40,4,0)/VLOOKUP(I165,Lookups!$M$10:$P$40,4,0)),"")</f>
        <v>149.81802080411933</v>
      </c>
      <c r="K165" s="15"/>
      <c r="L165" s="17"/>
      <c r="M165" s="19" t="str">
        <f>IF(K165&gt;0,(K165*VLOOKUP(Lookups!$K$11,Lookups!$M$10:$P$40,4,0)/VLOOKUP(L165,Lookups!$M$10:$P$40,4,0)),"")</f>
        <v/>
      </c>
      <c r="N165" s="15"/>
      <c r="O165" s="17"/>
      <c r="P165" s="19" t="str">
        <f>IF(N165&gt;0,(N165*VLOOKUP(Lookups!$K$11,Lookups!$M$10:$P$40,4,0)/VLOOKUP(O165,Lookups!$M$10:$P$40,4,0)),"")</f>
        <v/>
      </c>
      <c r="Q165" s="78" t="s">
        <v>584</v>
      </c>
      <c r="R165" s="17" t="s">
        <v>621</v>
      </c>
      <c r="S165" s="13" t="s">
        <v>585</v>
      </c>
      <c r="T165" s="4"/>
      <c r="U165" s="120" t="s">
        <v>272</v>
      </c>
    </row>
    <row r="166" spans="1:21" s="58" customFormat="1" ht="60" customHeight="1" collapsed="1" x14ac:dyDescent="0.2">
      <c r="A166" s="44" t="s">
        <v>688</v>
      </c>
      <c r="B166" s="44" t="s">
        <v>699</v>
      </c>
      <c r="C166" s="44" t="s">
        <v>1572</v>
      </c>
      <c r="D166" s="44" t="s">
        <v>586</v>
      </c>
      <c r="E166" s="13" t="s">
        <v>1428</v>
      </c>
      <c r="F166" s="13" t="s">
        <v>629</v>
      </c>
      <c r="G166" s="13" t="s">
        <v>225</v>
      </c>
      <c r="H166" s="15">
        <v>156</v>
      </c>
      <c r="I166" s="17" t="s">
        <v>665</v>
      </c>
      <c r="J166" s="19">
        <f>IF(H166&gt;0,(H166*VLOOKUP(Lookups!$K$11,Lookups!$M$10:$P$40,4,0)/VLOOKUP(I166,Lookups!$M$10:$P$40,4,0)),"")</f>
        <v>166.9400803245901</v>
      </c>
      <c r="K166" s="15"/>
      <c r="L166" s="17"/>
      <c r="M166" s="19" t="str">
        <f>IF(K166&gt;0,(K166*VLOOKUP(Lookups!$K$11,Lookups!$M$10:$P$40,4,0)/VLOOKUP(L166,Lookups!$M$10:$P$40,4,0)),"")</f>
        <v/>
      </c>
      <c r="N166" s="15"/>
      <c r="O166" s="17"/>
      <c r="P166" s="19" t="str">
        <f>IF(N166&gt;0,(N166*VLOOKUP(Lookups!$K$11,Lookups!$M$10:$P$40,4,0)/VLOOKUP(O166,Lookups!$M$10:$P$40,4,0)),"")</f>
        <v/>
      </c>
      <c r="Q166" s="78" t="s">
        <v>587</v>
      </c>
      <c r="R166" s="17" t="s">
        <v>621</v>
      </c>
      <c r="S166" s="13" t="s">
        <v>588</v>
      </c>
      <c r="T166" s="4"/>
      <c r="U166" s="120" t="s">
        <v>272</v>
      </c>
    </row>
    <row r="167" spans="1:21" s="58" customFormat="1" ht="60" hidden="1" customHeight="1" outlineLevel="1" x14ac:dyDescent="0.2">
      <c r="A167" s="46" t="s">
        <v>688</v>
      </c>
      <c r="B167" s="46" t="s">
        <v>699</v>
      </c>
      <c r="C167" s="46" t="s">
        <v>982</v>
      </c>
      <c r="D167" s="46" t="s">
        <v>589</v>
      </c>
      <c r="E167" s="13" t="s">
        <v>1428</v>
      </c>
      <c r="F167" s="13" t="s">
        <v>629</v>
      </c>
      <c r="G167" s="13" t="s">
        <v>225</v>
      </c>
      <c r="H167" s="15">
        <v>132</v>
      </c>
      <c r="I167" s="17" t="s">
        <v>665</v>
      </c>
      <c r="J167" s="19">
        <f>IF(H167&gt;0,(H167*VLOOKUP(Lookups!$K$11,Lookups!$M$10:$P$40,4,0)/VLOOKUP(I167,Lookups!$M$10:$P$40,4,0)),"")</f>
        <v>141.25699104388391</v>
      </c>
      <c r="K167" s="15"/>
      <c r="L167" s="17"/>
      <c r="M167" s="19" t="str">
        <f>IF(K167&gt;0,(K167*VLOOKUP(Lookups!$K$11,Lookups!$M$10:$P$40,4,0)/VLOOKUP(L167,Lookups!$M$10:$P$40,4,0)),"")</f>
        <v/>
      </c>
      <c r="N167" s="15"/>
      <c r="O167" s="17"/>
      <c r="P167" s="19" t="str">
        <f>IF(N167&gt;0,(N167*VLOOKUP(Lookups!$K$11,Lookups!$M$10:$P$40,4,0)/VLOOKUP(O167,Lookups!$M$10:$P$40,4,0)),"")</f>
        <v/>
      </c>
      <c r="Q167" s="78" t="s">
        <v>590</v>
      </c>
      <c r="R167" s="17" t="s">
        <v>621</v>
      </c>
      <c r="S167" s="13" t="s">
        <v>591</v>
      </c>
      <c r="T167" s="4"/>
      <c r="U167" s="120" t="s">
        <v>272</v>
      </c>
    </row>
    <row r="168" spans="1:21" s="40" customFormat="1" ht="60" hidden="1" customHeight="1" outlineLevel="1" x14ac:dyDescent="0.2">
      <c r="A168" s="46" t="s">
        <v>688</v>
      </c>
      <c r="B168" s="46" t="s">
        <v>699</v>
      </c>
      <c r="C168" s="46" t="s">
        <v>1968</v>
      </c>
      <c r="D168" s="46" t="s">
        <v>1019</v>
      </c>
      <c r="E168" s="13" t="s">
        <v>628</v>
      </c>
      <c r="F168" s="13" t="s">
        <v>629</v>
      </c>
      <c r="G168" s="13" t="s">
        <v>225</v>
      </c>
      <c r="H168" s="15">
        <v>35</v>
      </c>
      <c r="I168" s="17" t="s">
        <v>727</v>
      </c>
      <c r="J168" s="19">
        <f>IF(H168&gt;0,(H168*VLOOKUP(Lookups!$K$11,Lookups!$M$10:$P$40,4,0)/VLOOKUP(I168,Lookups!$M$10:$P$40,4,0)),"")</f>
        <v>36.093329999999995</v>
      </c>
      <c r="K168" s="15"/>
      <c r="L168" s="17"/>
      <c r="M168" s="19" t="str">
        <f>IF(K168&gt;0,(K168*VLOOKUP(Lookups!$K$11,Lookups!$M$10:$P$40,4,0)/VLOOKUP(L168,Lookups!$M$10:$P$40,4,0)),"")</f>
        <v/>
      </c>
      <c r="N168" s="15"/>
      <c r="O168" s="17"/>
      <c r="P168" s="19" t="str">
        <f>IF(N168&gt;0,(N168*VLOOKUP(Lookups!$K$11,Lookups!$M$10:$P$40,4,0)/VLOOKUP(O168,Lookups!$M$10:$P$40,4,0)),"")</f>
        <v/>
      </c>
      <c r="Q168" s="77" t="s">
        <v>432</v>
      </c>
      <c r="R168" s="17" t="s">
        <v>621</v>
      </c>
      <c r="S168" s="13" t="s">
        <v>433</v>
      </c>
      <c r="T168" s="4" t="s">
        <v>1912</v>
      </c>
      <c r="U168" s="110" t="s">
        <v>305</v>
      </c>
    </row>
    <row r="169" spans="1:21" s="58" customFormat="1" ht="60" hidden="1" customHeight="1" outlineLevel="1" x14ac:dyDescent="0.2">
      <c r="A169" s="46" t="s">
        <v>688</v>
      </c>
      <c r="B169" s="46" t="s">
        <v>699</v>
      </c>
      <c r="C169" s="46" t="s">
        <v>1970</v>
      </c>
      <c r="D169" s="46" t="s">
        <v>435</v>
      </c>
      <c r="E169" s="13" t="s">
        <v>628</v>
      </c>
      <c r="F169" s="13" t="s">
        <v>629</v>
      </c>
      <c r="G169" s="13" t="s">
        <v>225</v>
      </c>
      <c r="H169" s="15">
        <v>41</v>
      </c>
      <c r="I169" s="17" t="s">
        <v>727</v>
      </c>
      <c r="J169" s="19">
        <f>IF(H169&gt;0,(H169*VLOOKUP(Lookups!$K$11,Lookups!$M$10:$P$40,4,0)/VLOOKUP(I169,Lookups!$M$10:$P$40,4,0)),"")</f>
        <v>42.280757999999992</v>
      </c>
      <c r="K169" s="15"/>
      <c r="L169" s="17"/>
      <c r="M169" s="19" t="str">
        <f>IF(K169&gt;0,(K169*VLOOKUP(Lookups!$K$11,Lookups!$M$10:$P$40,4,0)/VLOOKUP(L169,Lookups!$M$10:$P$40,4,0)),"")</f>
        <v/>
      </c>
      <c r="N169" s="15"/>
      <c r="O169" s="17"/>
      <c r="P169" s="19" t="str">
        <f>IF(N169&gt;0,(N169*VLOOKUP(Lookups!$K$11,Lookups!$M$10:$P$40,4,0)/VLOOKUP(O169,Lookups!$M$10:$P$40,4,0)),"")</f>
        <v/>
      </c>
      <c r="Q169" s="77" t="s">
        <v>434</v>
      </c>
      <c r="R169" s="17" t="s">
        <v>621</v>
      </c>
      <c r="S169" s="13" t="s">
        <v>444</v>
      </c>
      <c r="T169" s="4" t="s">
        <v>1912</v>
      </c>
      <c r="U169" s="110" t="s">
        <v>305</v>
      </c>
    </row>
    <row r="170" spans="1:21" s="58" customFormat="1" ht="60" hidden="1" customHeight="1" outlineLevel="1" x14ac:dyDescent="0.2">
      <c r="A170" s="46" t="s">
        <v>688</v>
      </c>
      <c r="B170" s="46" t="s">
        <v>699</v>
      </c>
      <c r="C170" s="46" t="s">
        <v>1969</v>
      </c>
      <c r="D170" s="46" t="s">
        <v>436</v>
      </c>
      <c r="E170" s="13" t="s">
        <v>628</v>
      </c>
      <c r="F170" s="13" t="s">
        <v>629</v>
      </c>
      <c r="G170" s="13" t="s">
        <v>225</v>
      </c>
      <c r="H170" s="15">
        <v>37</v>
      </c>
      <c r="I170" s="17" t="s">
        <v>727</v>
      </c>
      <c r="J170" s="19">
        <f>IF(H170&gt;0,(H170*VLOOKUP(Lookups!$K$11,Lookups!$M$10:$P$40,4,0)/VLOOKUP(I170,Lookups!$M$10:$P$40,4,0)),"")</f>
        <v>38.155805999999998</v>
      </c>
      <c r="K170" s="15"/>
      <c r="L170" s="17"/>
      <c r="M170" s="19" t="str">
        <f>IF(K170&gt;0,(K170*VLOOKUP(Lookups!$K$11,Lookups!$M$10:$P$40,4,0)/VLOOKUP(L170,Lookups!$M$10:$P$40,4,0)),"")</f>
        <v/>
      </c>
      <c r="N170" s="15"/>
      <c r="O170" s="17"/>
      <c r="P170" s="19" t="str">
        <f>IF(N170&gt;0,(N170*VLOOKUP(Lookups!$K$11,Lookups!$M$10:$P$40,4,0)/VLOOKUP(O170,Lookups!$M$10:$P$40,4,0)),"")</f>
        <v/>
      </c>
      <c r="Q170" s="77" t="s">
        <v>443</v>
      </c>
      <c r="R170" s="17" t="s">
        <v>621</v>
      </c>
      <c r="S170" s="13" t="s">
        <v>445</v>
      </c>
      <c r="T170" s="4" t="s">
        <v>1912</v>
      </c>
      <c r="U170" s="110" t="s">
        <v>305</v>
      </c>
    </row>
    <row r="171" spans="1:21" s="58" customFormat="1" ht="60" hidden="1" customHeight="1" outlineLevel="1" x14ac:dyDescent="0.2">
      <c r="A171" s="46" t="s">
        <v>688</v>
      </c>
      <c r="B171" s="46" t="s">
        <v>699</v>
      </c>
      <c r="C171" s="46" t="s">
        <v>1971</v>
      </c>
      <c r="D171" s="46" t="s">
        <v>446</v>
      </c>
      <c r="E171" s="13" t="s">
        <v>628</v>
      </c>
      <c r="F171" s="13" t="s">
        <v>629</v>
      </c>
      <c r="G171" s="13" t="s">
        <v>225</v>
      </c>
      <c r="H171" s="15">
        <v>38</v>
      </c>
      <c r="I171" s="17" t="s">
        <v>727</v>
      </c>
      <c r="J171" s="19">
        <f>IF(H171&gt;0,(H171*VLOOKUP(Lookups!$K$11,Lookups!$M$10:$P$40,4,0)/VLOOKUP(I171,Lookups!$M$10:$P$40,4,0)),"")</f>
        <v>39.187043999999993</v>
      </c>
      <c r="K171" s="15"/>
      <c r="L171" s="17"/>
      <c r="M171" s="19" t="str">
        <f>IF(K171&gt;0,(K171*VLOOKUP(Lookups!$K$11,Lookups!$M$10:$P$40,4,0)/VLOOKUP(L171,Lookups!$M$10:$P$40,4,0)),"")</f>
        <v/>
      </c>
      <c r="N171" s="15"/>
      <c r="O171" s="17"/>
      <c r="P171" s="19" t="str">
        <f>IF(N171&gt;0,(N171*VLOOKUP(Lookups!$K$11,Lookups!$M$10:$P$40,4,0)/VLOOKUP(O171,Lookups!$M$10:$P$40,4,0)),"")</f>
        <v/>
      </c>
      <c r="Q171" s="77" t="s">
        <v>447</v>
      </c>
      <c r="R171" s="17" t="s">
        <v>621</v>
      </c>
      <c r="S171" s="13" t="s">
        <v>402</v>
      </c>
      <c r="T171" s="4" t="s">
        <v>1912</v>
      </c>
      <c r="U171" s="110" t="s">
        <v>305</v>
      </c>
    </row>
    <row r="172" spans="1:21" s="58" customFormat="1" ht="60" hidden="1" customHeight="1" outlineLevel="1" x14ac:dyDescent="0.2">
      <c r="A172" s="46" t="s">
        <v>688</v>
      </c>
      <c r="B172" s="46" t="s">
        <v>699</v>
      </c>
      <c r="C172" s="46" t="s">
        <v>1972</v>
      </c>
      <c r="D172" s="46" t="s">
        <v>437</v>
      </c>
      <c r="E172" s="13" t="s">
        <v>628</v>
      </c>
      <c r="F172" s="13" t="s">
        <v>629</v>
      </c>
      <c r="G172" s="13" t="s">
        <v>225</v>
      </c>
      <c r="H172" s="15">
        <v>34</v>
      </c>
      <c r="I172" s="17" t="s">
        <v>727</v>
      </c>
      <c r="J172" s="19">
        <f>IF(H172&gt;0,(H172*VLOOKUP(Lookups!$K$11,Lookups!$M$10:$P$40,4,0)/VLOOKUP(I172,Lookups!$M$10:$P$40,4,0)),"")</f>
        <v>35.062092</v>
      </c>
      <c r="K172" s="15"/>
      <c r="L172" s="17"/>
      <c r="M172" s="19" t="str">
        <f>IF(K172&gt;0,(K172*VLOOKUP(Lookups!$K$11,Lookups!$M$10:$P$40,4,0)/VLOOKUP(L172,Lookups!$M$10:$P$40,4,0)),"")</f>
        <v/>
      </c>
      <c r="N172" s="15"/>
      <c r="O172" s="17"/>
      <c r="P172" s="19" t="str">
        <f>IF(N172&gt;0,(N172*VLOOKUP(Lookups!$K$11,Lookups!$M$10:$P$40,4,0)/VLOOKUP(O172,Lookups!$M$10:$P$40,4,0)),"")</f>
        <v/>
      </c>
      <c r="Q172" s="77" t="s">
        <v>448</v>
      </c>
      <c r="R172" s="17" t="s">
        <v>621</v>
      </c>
      <c r="S172" s="13" t="s">
        <v>147</v>
      </c>
      <c r="T172" s="4" t="s">
        <v>1912</v>
      </c>
      <c r="U172" s="110" t="s">
        <v>305</v>
      </c>
    </row>
    <row r="173" spans="1:21" s="58" customFormat="1" ht="60" customHeight="1" collapsed="1" x14ac:dyDescent="0.2">
      <c r="A173" s="44" t="s">
        <v>688</v>
      </c>
      <c r="B173" s="44" t="s">
        <v>699</v>
      </c>
      <c r="C173" s="44" t="s">
        <v>1573</v>
      </c>
      <c r="D173" s="44" t="s">
        <v>592</v>
      </c>
      <c r="E173" s="13" t="s">
        <v>631</v>
      </c>
      <c r="F173" s="13" t="s">
        <v>679</v>
      </c>
      <c r="G173" s="13" t="s">
        <v>1347</v>
      </c>
      <c r="H173" s="15">
        <v>1038</v>
      </c>
      <c r="I173" s="17" t="s">
        <v>727</v>
      </c>
      <c r="J173" s="19">
        <f>IF(H173&gt;0,(H173*VLOOKUP(Lookups!$K$11,Lookups!$M$10:$P$40,4,0)/VLOOKUP(I173,Lookups!$M$10:$P$40,4,0)),"")</f>
        <v>1070.4250439999998</v>
      </c>
      <c r="K173" s="15"/>
      <c r="L173" s="17"/>
      <c r="M173" s="19" t="str">
        <f>IF(K173&gt;0,(K173*VLOOKUP(Lookups!$K$11,Lookups!$M$10:$P$40,4,0)/VLOOKUP(L173,Lookups!$M$10:$P$40,4,0)),"")</f>
        <v/>
      </c>
      <c r="N173" s="15"/>
      <c r="O173" s="17"/>
      <c r="P173" s="19" t="str">
        <f>IF(N173&gt;0,(N173*VLOOKUP(Lookups!$K$11,Lookups!$M$10:$P$40,4,0)/VLOOKUP(O173,Lookups!$M$10:$P$40,4,0)),"")</f>
        <v/>
      </c>
      <c r="Q173" s="77" t="s">
        <v>152</v>
      </c>
      <c r="R173" s="17" t="s">
        <v>621</v>
      </c>
      <c r="S173" s="13" t="s">
        <v>175</v>
      </c>
      <c r="T173" s="4" t="s">
        <v>1912</v>
      </c>
      <c r="U173" s="110" t="s">
        <v>305</v>
      </c>
    </row>
    <row r="174" spans="1:21" s="58" customFormat="1" ht="60" hidden="1" customHeight="1" outlineLevel="1" x14ac:dyDescent="0.2">
      <c r="A174" s="46" t="s">
        <v>688</v>
      </c>
      <c r="B174" s="46" t="s">
        <v>699</v>
      </c>
      <c r="C174" s="46" t="s">
        <v>983</v>
      </c>
      <c r="D174" s="46" t="s">
        <v>2045</v>
      </c>
      <c r="E174" s="13" t="s">
        <v>631</v>
      </c>
      <c r="F174" s="13" t="s">
        <v>679</v>
      </c>
      <c r="G174" s="13" t="s">
        <v>1347</v>
      </c>
      <c r="H174" s="15">
        <v>710</v>
      </c>
      <c r="I174" s="17" t="s">
        <v>727</v>
      </c>
      <c r="J174" s="19">
        <f>IF(H174&gt;0,(H174*VLOOKUP(Lookups!$K$11,Lookups!$M$10:$P$40,4,0)/VLOOKUP(I174,Lookups!$M$10:$P$40,4,0)),"")</f>
        <v>732.17897999999991</v>
      </c>
      <c r="K174" s="15"/>
      <c r="L174" s="17"/>
      <c r="M174" s="19" t="str">
        <f>IF(K174&gt;0,(K174*VLOOKUP(Lookups!$K$11,Lookups!$M$10:$P$40,4,0)/VLOOKUP(L174,Lookups!$M$10:$P$40,4,0)),"")</f>
        <v/>
      </c>
      <c r="N174" s="15"/>
      <c r="O174" s="17"/>
      <c r="P174" s="19" t="str">
        <f>IF(N174&gt;0,(N174*VLOOKUP(Lookups!$K$11,Lookups!$M$10:$P$40,4,0)/VLOOKUP(O174,Lookups!$M$10:$P$40,4,0)),"")</f>
        <v/>
      </c>
      <c r="Q174" s="77" t="s">
        <v>153</v>
      </c>
      <c r="R174" s="17" t="s">
        <v>621</v>
      </c>
      <c r="S174" s="13" t="s">
        <v>174</v>
      </c>
      <c r="T174" s="4" t="s">
        <v>1912</v>
      </c>
      <c r="U174" s="110" t="s">
        <v>305</v>
      </c>
    </row>
    <row r="175" spans="1:21" s="58" customFormat="1" ht="60" customHeight="1" collapsed="1" x14ac:dyDescent="0.2">
      <c r="A175" s="44" t="s">
        <v>688</v>
      </c>
      <c r="B175" s="44" t="s">
        <v>699</v>
      </c>
      <c r="C175" s="44" t="s">
        <v>1574</v>
      </c>
      <c r="D175" s="44" t="s">
        <v>154</v>
      </c>
      <c r="E175" s="13" t="s">
        <v>1428</v>
      </c>
      <c r="F175" s="13" t="s">
        <v>679</v>
      </c>
      <c r="G175" s="13" t="s">
        <v>1347</v>
      </c>
      <c r="H175" s="15">
        <v>35</v>
      </c>
      <c r="I175" s="17" t="s">
        <v>727</v>
      </c>
      <c r="J175" s="19">
        <f>IF(H175&gt;0,(H175*VLOOKUP(Lookups!$K$11,Lookups!$M$10:$P$40,4,0)/VLOOKUP(I175,Lookups!$M$10:$P$40,4,0)),"")</f>
        <v>36.093329999999995</v>
      </c>
      <c r="K175" s="15"/>
      <c r="L175" s="17"/>
      <c r="M175" s="19" t="str">
        <f>IF(K175&gt;0,(K175*VLOOKUP(Lookups!$K$11,Lookups!$M$10:$P$40,4,0)/VLOOKUP(L175,Lookups!$M$10:$P$40,4,0)),"")</f>
        <v/>
      </c>
      <c r="N175" s="15"/>
      <c r="O175" s="17"/>
      <c r="P175" s="19" t="str">
        <f>IF(N175&gt;0,(N175*VLOOKUP(Lookups!$K$11,Lookups!$M$10:$P$40,4,0)/VLOOKUP(O175,Lookups!$M$10:$P$40,4,0)),"")</f>
        <v/>
      </c>
      <c r="Q175" s="77" t="s">
        <v>155</v>
      </c>
      <c r="R175" s="17" t="s">
        <v>621</v>
      </c>
      <c r="S175" s="13" t="s">
        <v>2422</v>
      </c>
      <c r="T175" s="4" t="s">
        <v>1912</v>
      </c>
      <c r="U175" s="110" t="s">
        <v>305</v>
      </c>
    </row>
    <row r="176" spans="1:21" s="58" customFormat="1" ht="60" hidden="1" customHeight="1" outlineLevel="1" x14ac:dyDescent="0.2">
      <c r="A176" s="46" t="s">
        <v>688</v>
      </c>
      <c r="B176" s="46" t="s">
        <v>699</v>
      </c>
      <c r="C176" s="46" t="s">
        <v>984</v>
      </c>
      <c r="D176" s="46" t="s">
        <v>156</v>
      </c>
      <c r="E176" s="13" t="s">
        <v>1428</v>
      </c>
      <c r="F176" s="13" t="s">
        <v>679</v>
      </c>
      <c r="G176" s="13" t="s">
        <v>1347</v>
      </c>
      <c r="H176" s="15">
        <v>40</v>
      </c>
      <c r="I176" s="17" t="s">
        <v>727</v>
      </c>
      <c r="J176" s="19">
        <f>IF(H176&gt;0,(H176*VLOOKUP(Lookups!$K$11,Lookups!$M$10:$P$40,4,0)/VLOOKUP(I176,Lookups!$M$10:$P$40,4,0)),"")</f>
        <v>41.249519999999997</v>
      </c>
      <c r="K176" s="15"/>
      <c r="L176" s="17"/>
      <c r="M176" s="19" t="str">
        <f>IF(K176&gt;0,(K176*VLOOKUP(Lookups!$K$11,Lookups!$M$10:$P$40,4,0)/VLOOKUP(L176,Lookups!$M$10:$P$40,4,0)),"")</f>
        <v/>
      </c>
      <c r="N176" s="15"/>
      <c r="O176" s="17"/>
      <c r="P176" s="19" t="str">
        <f>IF(N176&gt;0,(N176*VLOOKUP(Lookups!$K$11,Lookups!$M$10:$P$40,4,0)/VLOOKUP(O176,Lookups!$M$10:$P$40,4,0)),"")</f>
        <v/>
      </c>
      <c r="Q176" s="77" t="s">
        <v>172</v>
      </c>
      <c r="R176" s="17" t="s">
        <v>621</v>
      </c>
      <c r="S176" s="13" t="s">
        <v>173</v>
      </c>
      <c r="T176" s="4" t="s">
        <v>1912</v>
      </c>
      <c r="U176" s="110" t="s">
        <v>305</v>
      </c>
    </row>
    <row r="177" spans="1:21" s="58" customFormat="1" ht="60" customHeight="1" collapsed="1" x14ac:dyDescent="0.2">
      <c r="A177" s="44" t="s">
        <v>688</v>
      </c>
      <c r="B177" s="44" t="s">
        <v>285</v>
      </c>
      <c r="C177" s="44" t="s">
        <v>1575</v>
      </c>
      <c r="D177" s="44" t="s">
        <v>1020</v>
      </c>
      <c r="E177" s="13" t="s">
        <v>628</v>
      </c>
      <c r="F177" s="13" t="s">
        <v>629</v>
      </c>
      <c r="G177" s="13" t="s">
        <v>225</v>
      </c>
      <c r="H177" s="15">
        <v>50</v>
      </c>
      <c r="I177" s="17" t="s">
        <v>727</v>
      </c>
      <c r="J177" s="19">
        <f>IF(H177&gt;0,(H177*VLOOKUP(Lookups!$K$11,Lookups!$M$10:$P$40,4,0)/VLOOKUP(I177,Lookups!$M$10:$P$40,4,0)),"")</f>
        <v>51.561899999999994</v>
      </c>
      <c r="K177" s="15"/>
      <c r="L177" s="17"/>
      <c r="M177" s="19" t="str">
        <f>IF(K177&gt;0,(K177*VLOOKUP(Lookups!$K$11,Lookups!$M$10:$P$40,4,0)/VLOOKUP(L177,Lookups!$M$10:$P$40,4,0)),"")</f>
        <v/>
      </c>
      <c r="N177" s="15"/>
      <c r="O177" s="17"/>
      <c r="P177" s="19" t="str">
        <f>IF(N177&gt;0,(N177*VLOOKUP(Lookups!$K$11,Lookups!$M$10:$P$40,4,0)/VLOOKUP(O177,Lookups!$M$10:$P$40,4,0)),"")</f>
        <v/>
      </c>
      <c r="Q177" s="77" t="s">
        <v>150</v>
      </c>
      <c r="R177" s="17" t="s">
        <v>621</v>
      </c>
      <c r="S177" s="13" t="s">
        <v>2429</v>
      </c>
      <c r="T177" s="4" t="s">
        <v>1912</v>
      </c>
      <c r="U177" s="110" t="s">
        <v>383</v>
      </c>
    </row>
    <row r="178" spans="1:21" s="58" customFormat="1" ht="60" hidden="1" customHeight="1" outlineLevel="1" x14ac:dyDescent="0.2">
      <c r="A178" s="46" t="s">
        <v>688</v>
      </c>
      <c r="B178" s="46" t="s">
        <v>285</v>
      </c>
      <c r="C178" s="46" t="s">
        <v>347</v>
      </c>
      <c r="D178" s="46" t="s">
        <v>574</v>
      </c>
      <c r="E178" s="13" t="s">
        <v>1373</v>
      </c>
      <c r="F178" s="13" t="s">
        <v>629</v>
      </c>
      <c r="G178" s="13" t="s">
        <v>225</v>
      </c>
      <c r="H178" s="15">
        <v>249</v>
      </c>
      <c r="I178" s="17" t="s">
        <v>727</v>
      </c>
      <c r="J178" s="19">
        <f>IF(H178&gt;0,(H178*VLOOKUP(Lookups!$K$11,Lookups!$M$10:$P$40,4,0)/VLOOKUP(I178,Lookups!$M$10:$P$40,4,0)),"")</f>
        <v>256.77826199999993</v>
      </c>
      <c r="K178" s="15"/>
      <c r="L178" s="17"/>
      <c r="M178" s="19" t="str">
        <f>IF(K178&gt;0,(K178*VLOOKUP(Lookups!$K$11,Lookups!$M$10:$P$40,4,0)/VLOOKUP(L178,Lookups!$M$10:$P$40,4,0)),"")</f>
        <v/>
      </c>
      <c r="N178" s="15"/>
      <c r="O178" s="17"/>
      <c r="P178" s="19" t="str">
        <f>IF(N178&gt;0,(N178*VLOOKUP(Lookups!$K$11,Lookups!$M$10:$P$40,4,0)/VLOOKUP(O178,Lookups!$M$10:$P$40,4,0)),"")</f>
        <v/>
      </c>
      <c r="Q178" s="77" t="s">
        <v>2380</v>
      </c>
      <c r="R178" s="17" t="s">
        <v>621</v>
      </c>
      <c r="S178" s="13" t="s">
        <v>151</v>
      </c>
      <c r="T178" s="4" t="s">
        <v>1912</v>
      </c>
      <c r="U178" s="110" t="s">
        <v>383</v>
      </c>
    </row>
    <row r="179" spans="1:21" s="40" customFormat="1" ht="60" customHeight="1" collapsed="1" x14ac:dyDescent="0.2">
      <c r="A179" s="42" t="s">
        <v>688</v>
      </c>
      <c r="B179" s="42" t="s">
        <v>701</v>
      </c>
      <c r="C179" s="42" t="s">
        <v>1576</v>
      </c>
      <c r="D179" s="42" t="s">
        <v>1026</v>
      </c>
      <c r="E179" s="13" t="s">
        <v>628</v>
      </c>
      <c r="F179" s="13" t="s">
        <v>629</v>
      </c>
      <c r="G179" s="13" t="s">
        <v>1405</v>
      </c>
      <c r="H179" s="15">
        <v>121</v>
      </c>
      <c r="I179" s="17" t="s">
        <v>727</v>
      </c>
      <c r="J179" s="19">
        <f>IF(H179&gt;0,(H179*VLOOKUP(Lookups!$K$11,Lookups!$M$10:$P$40,4,0)/VLOOKUP(I179,Lookups!$M$10:$P$40,4,0)),"")</f>
        <v>124.77979799999999</v>
      </c>
      <c r="K179" s="15"/>
      <c r="L179" s="17"/>
      <c r="M179" s="19" t="str">
        <f>IF(K179&gt;0,(K179*VLOOKUP(Lookups!$K$11,Lookups!$M$10:$P$40,4,0)/VLOOKUP(L179,Lookups!$M$10:$P$40,4,0)),"")</f>
        <v/>
      </c>
      <c r="N179" s="15"/>
      <c r="O179" s="17"/>
      <c r="P179" s="19" t="str">
        <f>IF(N179&gt;0,(N179*VLOOKUP(Lookups!$K$11,Lookups!$M$10:$P$40,4,0)/VLOOKUP(O179,Lookups!$M$10:$P$40,4,0)),"")</f>
        <v/>
      </c>
      <c r="Q179" s="77" t="s">
        <v>176</v>
      </c>
      <c r="R179" s="17" t="s">
        <v>621</v>
      </c>
      <c r="S179" s="13" t="s">
        <v>460</v>
      </c>
      <c r="T179" s="4" t="s">
        <v>1912</v>
      </c>
      <c r="U179" s="110" t="s">
        <v>305</v>
      </c>
    </row>
    <row r="180" spans="1:21" s="40" customFormat="1" ht="60" hidden="1" customHeight="1" outlineLevel="1" x14ac:dyDescent="0.2">
      <c r="A180" s="46" t="s">
        <v>688</v>
      </c>
      <c r="B180" s="46" t="s">
        <v>701</v>
      </c>
      <c r="C180" s="46" t="s">
        <v>348</v>
      </c>
      <c r="D180" s="46" t="s">
        <v>1023</v>
      </c>
      <c r="E180" s="13" t="s">
        <v>628</v>
      </c>
      <c r="F180" s="13" t="s">
        <v>629</v>
      </c>
      <c r="G180" s="13" t="s">
        <v>1405</v>
      </c>
      <c r="H180" s="15">
        <v>243</v>
      </c>
      <c r="I180" s="17" t="s">
        <v>726</v>
      </c>
      <c r="J180" s="19">
        <f>IF(H180&gt;0,(H180*VLOOKUP(Lookups!$K$11,Lookups!$M$10:$P$40,4,0)/VLOOKUP(I180,Lookups!$M$10:$P$40,4,0)),"")</f>
        <v>255.91087740581997</v>
      </c>
      <c r="K180" s="15"/>
      <c r="L180" s="17"/>
      <c r="M180" s="19" t="str">
        <f>IF(K180&gt;0,(K180*VLOOKUP(Lookups!$K$11,Lookups!$M$10:$P$40,4,0)/VLOOKUP(L180,Lookups!$M$10:$P$40,4,0)),"")</f>
        <v/>
      </c>
      <c r="N180" s="15"/>
      <c r="O180" s="17"/>
      <c r="P180" s="19" t="str">
        <f>IF(N180&gt;0,(N180*VLOOKUP(Lookups!$K$11,Lookups!$M$10:$P$40,4,0)/VLOOKUP(O180,Lookups!$M$10:$P$40,4,0)),"")</f>
        <v/>
      </c>
      <c r="Q180" s="16" t="s">
        <v>2046</v>
      </c>
      <c r="R180" s="17" t="s">
        <v>621</v>
      </c>
      <c r="S180" s="13" t="s">
        <v>1746</v>
      </c>
      <c r="T180" s="13"/>
      <c r="U180" s="120" t="s">
        <v>379</v>
      </c>
    </row>
    <row r="181" spans="1:21" s="40" customFormat="1" ht="60" hidden="1" customHeight="1" outlineLevel="1" x14ac:dyDescent="0.2">
      <c r="A181" s="46" t="s">
        <v>688</v>
      </c>
      <c r="B181" s="46" t="s">
        <v>701</v>
      </c>
      <c r="C181" s="46" t="s">
        <v>349</v>
      </c>
      <c r="D181" s="46" t="s">
        <v>1024</v>
      </c>
      <c r="E181" s="13" t="s">
        <v>1392</v>
      </c>
      <c r="F181" s="13" t="s">
        <v>629</v>
      </c>
      <c r="G181" s="13" t="s">
        <v>1405</v>
      </c>
      <c r="H181" s="15">
        <v>38</v>
      </c>
      <c r="I181" s="17" t="s">
        <v>727</v>
      </c>
      <c r="J181" s="19">
        <f>IF(H181&gt;0,(H181*VLOOKUP(Lookups!$K$11,Lookups!$M$10:$P$40,4,0)/VLOOKUP(I181,Lookups!$M$10:$P$40,4,0)),"")</f>
        <v>39.187043999999993</v>
      </c>
      <c r="K181" s="15"/>
      <c r="L181" s="17"/>
      <c r="M181" s="19" t="str">
        <f>IF(K181&gt;0,(K181*VLOOKUP(Lookups!$K$11,Lookups!$M$10:$P$40,4,0)/VLOOKUP(L181,Lookups!$M$10:$P$40,4,0)),"")</f>
        <v/>
      </c>
      <c r="N181" s="15"/>
      <c r="O181" s="17"/>
      <c r="P181" s="19" t="str">
        <f>IF(N181&gt;0,(N181*VLOOKUP(Lookups!$K$11,Lookups!$M$10:$P$40,4,0)/VLOOKUP(O181,Lookups!$M$10:$P$40,4,0)),"")</f>
        <v/>
      </c>
      <c r="Q181" s="77" t="s">
        <v>176</v>
      </c>
      <c r="R181" s="17" t="s">
        <v>621</v>
      </c>
      <c r="S181" s="13" t="s">
        <v>178</v>
      </c>
      <c r="T181" s="4" t="s">
        <v>1912</v>
      </c>
      <c r="U181" s="110" t="s">
        <v>305</v>
      </c>
    </row>
    <row r="182" spans="1:21" s="40" customFormat="1" ht="60" hidden="1" customHeight="1" outlineLevel="1" x14ac:dyDescent="0.2">
      <c r="A182" s="46" t="s">
        <v>688</v>
      </c>
      <c r="B182" s="46" t="s">
        <v>701</v>
      </c>
      <c r="C182" s="46" t="s">
        <v>350</v>
      </c>
      <c r="D182" s="46" t="s">
        <v>1025</v>
      </c>
      <c r="E182" s="13" t="s">
        <v>1392</v>
      </c>
      <c r="F182" s="13" t="s">
        <v>629</v>
      </c>
      <c r="G182" s="13" t="s">
        <v>1405</v>
      </c>
      <c r="H182" s="15">
        <v>23</v>
      </c>
      <c r="I182" s="17" t="s">
        <v>727</v>
      </c>
      <c r="J182" s="19">
        <f>IF(H182&gt;0,(H182*VLOOKUP(Lookups!$K$11,Lookups!$M$10:$P$40,4,0)/VLOOKUP(I182,Lookups!$M$10:$P$40,4,0)),"")</f>
        <v>23.718473999999997</v>
      </c>
      <c r="K182" s="15"/>
      <c r="L182" s="17"/>
      <c r="M182" s="19" t="str">
        <f>IF(K182&gt;0,(K182*VLOOKUP(Lookups!$K$11,Lookups!$M$10:$P$40,4,0)/VLOOKUP(L182,Lookups!$M$10:$P$40,4,0)),"")</f>
        <v/>
      </c>
      <c r="N182" s="15"/>
      <c r="O182" s="17"/>
      <c r="P182" s="19" t="str">
        <f>IF(N182&gt;0,(N182*VLOOKUP(Lookups!$K$11,Lookups!$M$10:$P$40,4,0)/VLOOKUP(O182,Lookups!$M$10:$P$40,4,0)),"")</f>
        <v/>
      </c>
      <c r="Q182" s="77" t="s">
        <v>176</v>
      </c>
      <c r="R182" s="17" t="s">
        <v>621</v>
      </c>
      <c r="S182" s="13" t="s">
        <v>461</v>
      </c>
      <c r="T182" s="4" t="s">
        <v>1912</v>
      </c>
      <c r="U182" s="110" t="s">
        <v>305</v>
      </c>
    </row>
    <row r="183" spans="1:21" s="40" customFormat="1" ht="60" hidden="1" customHeight="1" outlineLevel="1" x14ac:dyDescent="0.2">
      <c r="A183" s="46" t="s">
        <v>688</v>
      </c>
      <c r="B183" s="46" t="s">
        <v>701</v>
      </c>
      <c r="C183" s="46" t="s">
        <v>351</v>
      </c>
      <c r="D183" s="46" t="s">
        <v>1027</v>
      </c>
      <c r="E183" s="13" t="s">
        <v>623</v>
      </c>
      <c r="F183" s="13" t="s">
        <v>629</v>
      </c>
      <c r="G183" s="13" t="s">
        <v>1405</v>
      </c>
      <c r="H183" s="15">
        <v>95</v>
      </c>
      <c r="I183" s="17" t="s">
        <v>726</v>
      </c>
      <c r="J183" s="19">
        <f>IF(H183&gt;0,(H183*VLOOKUP(Lookups!$K$11,Lookups!$M$10:$P$40,4,0)/VLOOKUP(I183,Lookups!$M$10:$P$40,4,0)),"")</f>
        <v>100.0474623603</v>
      </c>
      <c r="K183" s="15"/>
      <c r="L183" s="17"/>
      <c r="M183" s="19" t="str">
        <f>IF(K183&gt;0,(K183*VLOOKUP(Lookups!$K$11,Lookups!$M$10:$P$40,4,0)/VLOOKUP(L183,Lookups!$M$10:$P$40,4,0)),"")</f>
        <v/>
      </c>
      <c r="N183" s="15"/>
      <c r="O183" s="17"/>
      <c r="P183" s="19" t="str">
        <f>IF(N183&gt;0,(N183*VLOOKUP(Lookups!$K$11,Lookups!$M$10:$P$40,4,0)/VLOOKUP(O183,Lookups!$M$10:$P$40,4,0)),"")</f>
        <v/>
      </c>
      <c r="Q183" s="16" t="s">
        <v>2046</v>
      </c>
      <c r="R183" s="17" t="s">
        <v>621</v>
      </c>
      <c r="S183" s="13" t="s">
        <v>1747</v>
      </c>
      <c r="T183" s="13"/>
      <c r="U183" s="120" t="s">
        <v>379</v>
      </c>
    </row>
    <row r="184" spans="1:21" s="40" customFormat="1" ht="60" hidden="1" customHeight="1" outlineLevel="1" x14ac:dyDescent="0.2">
      <c r="A184" s="46" t="s">
        <v>688</v>
      </c>
      <c r="B184" s="46" t="s">
        <v>701</v>
      </c>
      <c r="C184" s="46" t="s">
        <v>352</v>
      </c>
      <c r="D184" s="46" t="s">
        <v>1028</v>
      </c>
      <c r="E184" s="13" t="s">
        <v>634</v>
      </c>
      <c r="F184" s="13" t="s">
        <v>629</v>
      </c>
      <c r="G184" s="13" t="s">
        <v>1405</v>
      </c>
      <c r="H184" s="15">
        <v>220278</v>
      </c>
      <c r="I184" s="17" t="s">
        <v>727</v>
      </c>
      <c r="J184" s="19">
        <f>IF(H184&gt;0,(H184*VLOOKUP(Lookups!$K$11,Lookups!$M$10:$P$40,4,0)/VLOOKUP(I184,Lookups!$M$10:$P$40,4,0)),"")</f>
        <v>227159.04416399996</v>
      </c>
      <c r="K184" s="15"/>
      <c r="L184" s="17"/>
      <c r="M184" s="19" t="str">
        <f>IF(K184&gt;0,(K184*VLOOKUP(Lookups!$K$11,Lookups!$M$10:$P$40,4,0)/VLOOKUP(L184,Lookups!$M$10:$P$40,4,0)),"")</f>
        <v/>
      </c>
      <c r="N184" s="15"/>
      <c r="O184" s="17"/>
      <c r="P184" s="19" t="str">
        <f>IF(N184&gt;0,(N184*VLOOKUP(Lookups!$K$11,Lookups!$M$10:$P$40,4,0)/VLOOKUP(O184,Lookups!$M$10:$P$40,4,0)),"")</f>
        <v/>
      </c>
      <c r="Q184" s="77" t="s">
        <v>176</v>
      </c>
      <c r="R184" s="17" t="s">
        <v>621</v>
      </c>
      <c r="S184" s="13" t="s">
        <v>462</v>
      </c>
      <c r="T184" s="4" t="s">
        <v>1912</v>
      </c>
      <c r="U184" s="110" t="s">
        <v>305</v>
      </c>
    </row>
    <row r="185" spans="1:21" s="40" customFormat="1" ht="60" customHeight="1" x14ac:dyDescent="0.2">
      <c r="A185" s="42" t="s">
        <v>688</v>
      </c>
      <c r="B185" s="42" t="s">
        <v>701</v>
      </c>
      <c r="C185" s="42" t="s">
        <v>1577</v>
      </c>
      <c r="D185" s="42" t="s">
        <v>1029</v>
      </c>
      <c r="E185" s="13" t="s">
        <v>1392</v>
      </c>
      <c r="F185" s="13" t="s">
        <v>629</v>
      </c>
      <c r="G185" s="13" t="s">
        <v>1405</v>
      </c>
      <c r="H185" s="15">
        <v>40.700000000000003</v>
      </c>
      <c r="I185" s="17" t="s">
        <v>727</v>
      </c>
      <c r="J185" s="19">
        <f>IF(H185&gt;0,(H185*VLOOKUP(Lookups!$K$11,Lookups!$M$10:$P$40,4,0)/VLOOKUP(I185,Lookups!$M$10:$P$40,4,0)),"")</f>
        <v>41.971386599999995</v>
      </c>
      <c r="K185" s="15"/>
      <c r="L185" s="17"/>
      <c r="M185" s="19" t="str">
        <f>IF(K185&gt;0,(K185*VLOOKUP(Lookups!$K$11,Lookups!$M$10:$P$40,4,0)/VLOOKUP(L185,Lookups!$M$10:$P$40,4,0)),"")</f>
        <v/>
      </c>
      <c r="N185" s="15"/>
      <c r="O185" s="17"/>
      <c r="P185" s="19" t="str">
        <f>IF(N185&gt;0,(N185*VLOOKUP(Lookups!$K$11,Lookups!$M$10:$P$40,4,0)/VLOOKUP(O185,Lookups!$M$10:$P$40,4,0)),"")</f>
        <v/>
      </c>
      <c r="Q185" s="77" t="s">
        <v>176</v>
      </c>
      <c r="R185" s="17" t="s">
        <v>621</v>
      </c>
      <c r="S185" s="13" t="s">
        <v>463</v>
      </c>
      <c r="T185" s="4" t="s">
        <v>1912</v>
      </c>
      <c r="U185" s="110" t="s">
        <v>305</v>
      </c>
    </row>
    <row r="186" spans="1:21" s="40" customFormat="1" ht="60" customHeight="1" collapsed="1" x14ac:dyDescent="0.2">
      <c r="A186" s="42" t="s">
        <v>688</v>
      </c>
      <c r="B186" s="42" t="s">
        <v>701</v>
      </c>
      <c r="C186" s="42" t="s">
        <v>1578</v>
      </c>
      <c r="D186" s="42" t="s">
        <v>1021</v>
      </c>
      <c r="E186" s="13" t="s">
        <v>628</v>
      </c>
      <c r="F186" s="13" t="s">
        <v>629</v>
      </c>
      <c r="G186" s="13" t="s">
        <v>225</v>
      </c>
      <c r="H186" s="15">
        <v>34</v>
      </c>
      <c r="I186" s="17" t="s">
        <v>727</v>
      </c>
      <c r="J186" s="19">
        <f>IF(H186&gt;0,(H186*VLOOKUP(Lookups!$K$11,Lookups!$M$10:$P$40,4,0)/VLOOKUP(I186,Lookups!$M$10:$P$40,4,0)),"")</f>
        <v>35.062092</v>
      </c>
      <c r="K186" s="15"/>
      <c r="L186" s="17"/>
      <c r="M186" s="19" t="str">
        <f>IF(K186&gt;0,(K186*VLOOKUP(Lookups!$K$11,Lookups!$M$10:$P$40,4,0)/VLOOKUP(L186,Lookups!$M$10:$P$40,4,0)),"")</f>
        <v/>
      </c>
      <c r="N186" s="15"/>
      <c r="O186" s="17"/>
      <c r="P186" s="19" t="str">
        <f>IF(N186&gt;0,(N186*VLOOKUP(Lookups!$K$11,Lookups!$M$10:$P$40,4,0)/VLOOKUP(O186,Lookups!$M$10:$P$40,4,0)),"")</f>
        <v/>
      </c>
      <c r="Q186" s="77" t="s">
        <v>464</v>
      </c>
      <c r="R186" s="17" t="s">
        <v>621</v>
      </c>
      <c r="S186" s="13" t="s">
        <v>465</v>
      </c>
      <c r="T186" s="4" t="s">
        <v>1912</v>
      </c>
      <c r="U186" s="110" t="s">
        <v>305</v>
      </c>
    </row>
    <row r="187" spans="1:21" s="40" customFormat="1" ht="60" hidden="1" customHeight="1" outlineLevel="1" x14ac:dyDescent="0.2">
      <c r="A187" s="46" t="s">
        <v>688</v>
      </c>
      <c r="B187" s="46" t="s">
        <v>701</v>
      </c>
      <c r="C187" s="46" t="s">
        <v>353</v>
      </c>
      <c r="D187" s="46" t="s">
        <v>1022</v>
      </c>
      <c r="E187" s="13" t="s">
        <v>628</v>
      </c>
      <c r="F187" s="13" t="s">
        <v>629</v>
      </c>
      <c r="G187" s="13" t="s">
        <v>225</v>
      </c>
      <c r="H187" s="15">
        <v>51</v>
      </c>
      <c r="I187" s="17" t="s">
        <v>727</v>
      </c>
      <c r="J187" s="19">
        <f>IF(H187&gt;0,(H187*VLOOKUP(Lookups!$K$11,Lookups!$M$10:$P$40,4,0)/VLOOKUP(I187,Lookups!$M$10:$P$40,4,0)),"")</f>
        <v>52.593137999999989</v>
      </c>
      <c r="K187" s="15"/>
      <c r="L187" s="17"/>
      <c r="M187" s="19" t="str">
        <f>IF(K187&gt;0,(K187*VLOOKUP(Lookups!$K$11,Lookups!$M$10:$P$40,4,0)/VLOOKUP(L187,Lookups!$M$10:$P$40,4,0)),"")</f>
        <v/>
      </c>
      <c r="N187" s="15"/>
      <c r="O187" s="17"/>
      <c r="P187" s="19" t="str">
        <f>IF(N187&gt;0,(N187*VLOOKUP(Lookups!$K$11,Lookups!$M$10:$P$40,4,0)/VLOOKUP(O187,Lookups!$M$10:$P$40,4,0)),"")</f>
        <v/>
      </c>
      <c r="Q187" s="77" t="s">
        <v>466</v>
      </c>
      <c r="R187" s="17" t="s">
        <v>621</v>
      </c>
      <c r="S187" s="13" t="s">
        <v>467</v>
      </c>
      <c r="T187" s="4" t="s">
        <v>1912</v>
      </c>
      <c r="U187" s="110" t="s">
        <v>305</v>
      </c>
    </row>
    <row r="188" spans="1:21" s="40" customFormat="1" ht="60" customHeight="1" collapsed="1" x14ac:dyDescent="0.2">
      <c r="A188" s="42" t="s">
        <v>688</v>
      </c>
      <c r="B188" s="42" t="s">
        <v>705</v>
      </c>
      <c r="C188" s="42" t="s">
        <v>1579</v>
      </c>
      <c r="D188" s="42" t="s">
        <v>1035</v>
      </c>
      <c r="E188" s="13" t="s">
        <v>628</v>
      </c>
      <c r="F188" s="13" t="s">
        <v>629</v>
      </c>
      <c r="G188" s="13" t="s">
        <v>225</v>
      </c>
      <c r="H188" s="15">
        <v>43</v>
      </c>
      <c r="I188" s="17" t="s">
        <v>727</v>
      </c>
      <c r="J188" s="19">
        <f>IF(H188&gt;0,(H188*VLOOKUP(Lookups!$K$11,Lookups!$M$10:$P$40,4,0)/VLOOKUP(I188,Lookups!$M$10:$P$40,4,0)),"")</f>
        <v>44.343233999999995</v>
      </c>
      <c r="K188" s="15"/>
      <c r="L188" s="17"/>
      <c r="M188" s="19" t="str">
        <f>IF(K188&gt;0,(K188*VLOOKUP(Lookups!$K$11,Lookups!$M$10:$P$40,4,0)/VLOOKUP(L188,Lookups!$M$10:$P$40,4,0)),"")</f>
        <v/>
      </c>
      <c r="N188" s="15"/>
      <c r="O188" s="17"/>
      <c r="P188" s="19" t="str">
        <f>IF(N188&gt;0,(N188*VLOOKUP(Lookups!$K$11,Lookups!$M$10:$P$40,4,0)/VLOOKUP(O188,Lookups!$M$10:$P$40,4,0)),"")</f>
        <v/>
      </c>
      <c r="Q188" s="77" t="s">
        <v>468</v>
      </c>
      <c r="R188" s="17" t="s">
        <v>621</v>
      </c>
      <c r="S188" s="13" t="s">
        <v>469</v>
      </c>
      <c r="T188" s="4" t="s">
        <v>1912</v>
      </c>
      <c r="U188" s="110" t="s">
        <v>305</v>
      </c>
    </row>
    <row r="189" spans="1:21" s="40" customFormat="1" ht="60" hidden="1" customHeight="1" outlineLevel="1" x14ac:dyDescent="0.2">
      <c r="A189" s="46" t="s">
        <v>688</v>
      </c>
      <c r="B189" s="46" t="s">
        <v>705</v>
      </c>
      <c r="C189" s="46" t="s">
        <v>985</v>
      </c>
      <c r="D189" s="46" t="s">
        <v>1037</v>
      </c>
      <c r="E189" s="13" t="s">
        <v>628</v>
      </c>
      <c r="F189" s="13" t="s">
        <v>629</v>
      </c>
      <c r="G189" s="13" t="s">
        <v>225</v>
      </c>
      <c r="H189" s="15">
        <v>43</v>
      </c>
      <c r="I189" s="17" t="s">
        <v>727</v>
      </c>
      <c r="J189" s="19">
        <f>IF(H189&gt;0,(H189*VLOOKUP(Lookups!$K$11,Lookups!$M$10:$P$40,4,0)/VLOOKUP(I189,Lookups!$M$10:$P$40,4,0)),"")</f>
        <v>44.343233999999995</v>
      </c>
      <c r="K189" s="15"/>
      <c r="L189" s="17"/>
      <c r="M189" s="19" t="str">
        <f>IF(K189&gt;0,(K189*VLOOKUP(Lookups!$K$11,Lookups!$M$10:$P$40,4,0)/VLOOKUP(L189,Lookups!$M$10:$P$40,4,0)),"")</f>
        <v/>
      </c>
      <c r="N189" s="15"/>
      <c r="O189" s="17"/>
      <c r="P189" s="19" t="str">
        <f>IF(N189&gt;0,(N189*VLOOKUP(Lookups!$K$11,Lookups!$M$10:$P$40,4,0)/VLOOKUP(O189,Lookups!$M$10:$P$40,4,0)),"")</f>
        <v/>
      </c>
      <c r="Q189" s="77" t="s">
        <v>470</v>
      </c>
      <c r="R189" s="17" t="s">
        <v>621</v>
      </c>
      <c r="S189" s="13" t="s">
        <v>471</v>
      </c>
      <c r="T189" s="4" t="s">
        <v>1912</v>
      </c>
      <c r="U189" s="110" t="s">
        <v>305</v>
      </c>
    </row>
    <row r="190" spans="1:21" s="40" customFormat="1" ht="60" hidden="1" customHeight="1" outlineLevel="1" x14ac:dyDescent="0.2">
      <c r="A190" s="46" t="s">
        <v>688</v>
      </c>
      <c r="B190" s="46" t="s">
        <v>705</v>
      </c>
      <c r="C190" s="46" t="s">
        <v>354</v>
      </c>
      <c r="D190" s="46" t="s">
        <v>1038</v>
      </c>
      <c r="E190" s="13" t="s">
        <v>628</v>
      </c>
      <c r="F190" s="13" t="s">
        <v>629</v>
      </c>
      <c r="G190" s="13" t="s">
        <v>225</v>
      </c>
      <c r="H190" s="15">
        <v>20</v>
      </c>
      <c r="I190" s="17" t="s">
        <v>727</v>
      </c>
      <c r="J190" s="19">
        <f>IF(H190&gt;0,(H190*VLOOKUP(Lookups!$K$11,Lookups!$M$10:$P$40,4,0)/VLOOKUP(I190,Lookups!$M$10:$P$40,4,0)),"")</f>
        <v>20.624759999999998</v>
      </c>
      <c r="K190" s="15"/>
      <c r="L190" s="17"/>
      <c r="M190" s="19" t="str">
        <f>IF(K190&gt;0,(K190*VLOOKUP(Lookups!$K$11,Lookups!$M$10:$P$40,4,0)/VLOOKUP(L190,Lookups!$M$10:$P$40,4,0)),"")</f>
        <v/>
      </c>
      <c r="N190" s="15"/>
      <c r="O190" s="17"/>
      <c r="P190" s="19" t="str">
        <f>IF(N190&gt;0,(N190*VLOOKUP(Lookups!$K$11,Lookups!$M$10:$P$40,4,0)/VLOOKUP(O190,Lookups!$M$10:$P$40,4,0)),"")</f>
        <v/>
      </c>
      <c r="Q190" s="77" t="s">
        <v>2383</v>
      </c>
      <c r="R190" s="17" t="s">
        <v>621</v>
      </c>
      <c r="S190" s="13" t="s">
        <v>472</v>
      </c>
      <c r="T190" s="4" t="s">
        <v>1912</v>
      </c>
      <c r="U190" s="110" t="s">
        <v>305</v>
      </c>
    </row>
    <row r="191" spans="1:21" s="40" customFormat="1" ht="60" hidden="1" customHeight="1" outlineLevel="1" x14ac:dyDescent="0.2">
      <c r="A191" s="46" t="s">
        <v>688</v>
      </c>
      <c r="B191" s="46" t="s">
        <v>705</v>
      </c>
      <c r="C191" s="46" t="s">
        <v>355</v>
      </c>
      <c r="D191" s="46" t="s">
        <v>1036</v>
      </c>
      <c r="E191" s="13" t="s">
        <v>628</v>
      </c>
      <c r="F191" s="13" t="s">
        <v>629</v>
      </c>
      <c r="G191" s="13" t="s">
        <v>225</v>
      </c>
      <c r="H191" s="15">
        <v>43</v>
      </c>
      <c r="I191" s="17" t="s">
        <v>727</v>
      </c>
      <c r="J191" s="19">
        <f>IF(H191&gt;0,(H191*VLOOKUP(Lookups!$K$11,Lookups!$M$10:$P$40,4,0)/VLOOKUP(I191,Lookups!$M$10:$P$40,4,0)),"")</f>
        <v>44.343233999999995</v>
      </c>
      <c r="K191" s="15"/>
      <c r="L191" s="17"/>
      <c r="M191" s="19" t="str">
        <f>IF(K191&gt;0,(K191*VLOOKUP(Lookups!$K$11,Lookups!$M$10:$P$40,4,0)/VLOOKUP(L191,Lookups!$M$10:$P$40,4,0)),"")</f>
        <v/>
      </c>
      <c r="N191" s="15"/>
      <c r="O191" s="17"/>
      <c r="P191" s="19" t="str">
        <f>IF(N191&gt;0,(N191*VLOOKUP(Lookups!$K$11,Lookups!$M$10:$P$40,4,0)/VLOOKUP(O191,Lookups!$M$10:$P$40,4,0)),"")</f>
        <v/>
      </c>
      <c r="Q191" s="77" t="s">
        <v>473</v>
      </c>
      <c r="R191" s="17" t="s">
        <v>621</v>
      </c>
      <c r="S191" s="13" t="s">
        <v>213</v>
      </c>
      <c r="T191" s="4" t="s">
        <v>1912</v>
      </c>
      <c r="U191" s="110" t="s">
        <v>305</v>
      </c>
    </row>
    <row r="192" spans="1:21" s="40" customFormat="1" ht="60" hidden="1" customHeight="1" outlineLevel="1" x14ac:dyDescent="0.2">
      <c r="A192" s="46" t="s">
        <v>688</v>
      </c>
      <c r="B192" s="46" t="s">
        <v>705</v>
      </c>
      <c r="C192" s="46" t="s">
        <v>356</v>
      </c>
      <c r="D192" s="46" t="s">
        <v>1032</v>
      </c>
      <c r="E192" s="13" t="s">
        <v>628</v>
      </c>
      <c r="F192" s="13" t="s">
        <v>629</v>
      </c>
      <c r="G192" s="13" t="s">
        <v>225</v>
      </c>
      <c r="H192" s="15">
        <v>32</v>
      </c>
      <c r="I192" s="17" t="s">
        <v>727</v>
      </c>
      <c r="J192" s="19">
        <f>IF(H192&gt;0,(H192*VLOOKUP(Lookups!$K$11,Lookups!$M$10:$P$40,4,0)/VLOOKUP(I192,Lookups!$M$10:$P$40,4,0)),"")</f>
        <v>32.999615999999996</v>
      </c>
      <c r="K192" s="15"/>
      <c r="L192" s="17"/>
      <c r="M192" s="19" t="str">
        <f>IF(K192&gt;0,(K192*VLOOKUP(Lookups!$K$11,Lookups!$M$10:$P$40,4,0)/VLOOKUP(L192,Lookups!$M$10:$P$40,4,0)),"")</f>
        <v/>
      </c>
      <c r="N192" s="15"/>
      <c r="O192" s="17"/>
      <c r="P192" s="19" t="str">
        <f>IF(N192&gt;0,(N192*VLOOKUP(Lookups!$K$11,Lookups!$M$10:$P$40,4,0)/VLOOKUP(O192,Lookups!$M$10:$P$40,4,0)),"")</f>
        <v/>
      </c>
      <c r="Q192" s="77" t="s">
        <v>214</v>
      </c>
      <c r="R192" s="17" t="s">
        <v>621</v>
      </c>
      <c r="S192" s="13" t="s">
        <v>215</v>
      </c>
      <c r="T192" s="4" t="s">
        <v>1912</v>
      </c>
      <c r="U192" s="110" t="s">
        <v>305</v>
      </c>
    </row>
    <row r="193" spans="1:21" s="40" customFormat="1" ht="60" hidden="1" customHeight="1" outlineLevel="1" x14ac:dyDescent="0.2">
      <c r="A193" s="46" t="s">
        <v>688</v>
      </c>
      <c r="B193" s="46" t="s">
        <v>705</v>
      </c>
      <c r="C193" s="46" t="s">
        <v>357</v>
      </c>
      <c r="D193" s="46" t="s">
        <v>1033</v>
      </c>
      <c r="E193" s="13" t="s">
        <v>628</v>
      </c>
      <c r="F193" s="13" t="s">
        <v>629</v>
      </c>
      <c r="G193" s="13" t="s">
        <v>225</v>
      </c>
      <c r="H193" s="15">
        <v>32</v>
      </c>
      <c r="I193" s="17" t="s">
        <v>727</v>
      </c>
      <c r="J193" s="19">
        <f>IF(H193&gt;0,(H193*VLOOKUP(Lookups!$K$11,Lookups!$M$10:$P$40,4,0)/VLOOKUP(I193,Lookups!$M$10:$P$40,4,0)),"")</f>
        <v>32.999615999999996</v>
      </c>
      <c r="K193" s="15"/>
      <c r="L193" s="17"/>
      <c r="M193" s="19" t="str">
        <f>IF(K193&gt;0,(K193*VLOOKUP(Lookups!$K$11,Lookups!$M$10:$P$40,4,0)/VLOOKUP(L193,Lookups!$M$10:$P$40,4,0)),"")</f>
        <v/>
      </c>
      <c r="N193" s="15"/>
      <c r="O193" s="17"/>
      <c r="P193" s="19" t="str">
        <f>IF(N193&gt;0,(N193*VLOOKUP(Lookups!$K$11,Lookups!$M$10:$P$40,4,0)/VLOOKUP(O193,Lookups!$M$10:$P$40,4,0)),"")</f>
        <v/>
      </c>
      <c r="Q193" s="77" t="s">
        <v>216</v>
      </c>
      <c r="R193" s="17" t="s">
        <v>621</v>
      </c>
      <c r="S193" s="13" t="s">
        <v>217</v>
      </c>
      <c r="T193" s="4" t="s">
        <v>1912</v>
      </c>
      <c r="U193" s="110" t="s">
        <v>305</v>
      </c>
    </row>
    <row r="194" spans="1:21" s="40" customFormat="1" ht="60" hidden="1" customHeight="1" outlineLevel="1" x14ac:dyDescent="0.2">
      <c r="A194" s="46" t="s">
        <v>688</v>
      </c>
      <c r="B194" s="46" t="s">
        <v>705</v>
      </c>
      <c r="C194" s="46" t="s">
        <v>358</v>
      </c>
      <c r="D194" s="46" t="s">
        <v>738</v>
      </c>
      <c r="E194" s="13" t="s">
        <v>628</v>
      </c>
      <c r="F194" s="13" t="s">
        <v>629</v>
      </c>
      <c r="G194" s="13" t="s">
        <v>225</v>
      </c>
      <c r="H194" s="15">
        <v>61</v>
      </c>
      <c r="I194" s="17" t="s">
        <v>727</v>
      </c>
      <c r="J194" s="19">
        <f>IF(H194&gt;0,(H194*VLOOKUP(Lookups!$K$11,Lookups!$M$10:$P$40,4,0)/VLOOKUP(I194,Lookups!$M$10:$P$40,4,0)),"")</f>
        <v>62.905517999999994</v>
      </c>
      <c r="K194" s="15"/>
      <c r="L194" s="17"/>
      <c r="M194" s="19" t="str">
        <f>IF(K194&gt;0,(K194*VLOOKUP(Lookups!$K$11,Lookups!$M$10:$P$40,4,0)/VLOOKUP(L194,Lookups!$M$10:$P$40,4,0)),"")</f>
        <v/>
      </c>
      <c r="N194" s="15"/>
      <c r="O194" s="17"/>
      <c r="P194" s="19" t="str">
        <f>IF(N194&gt;0,(N194*VLOOKUP(Lookups!$K$11,Lookups!$M$10:$P$40,4,0)/VLOOKUP(O194,Lookups!$M$10:$P$40,4,0)),"")</f>
        <v/>
      </c>
      <c r="Q194" s="77" t="s">
        <v>2382</v>
      </c>
      <c r="R194" s="17" t="s">
        <v>621</v>
      </c>
      <c r="S194" s="13" t="s">
        <v>2381</v>
      </c>
      <c r="T194" s="4" t="s">
        <v>1912</v>
      </c>
      <c r="U194" s="110" t="s">
        <v>305</v>
      </c>
    </row>
    <row r="195" spans="1:21" s="40" customFormat="1" ht="60" hidden="1" customHeight="1" outlineLevel="1" x14ac:dyDescent="0.2">
      <c r="A195" s="46" t="s">
        <v>688</v>
      </c>
      <c r="B195" s="46" t="s">
        <v>705</v>
      </c>
      <c r="C195" s="46" t="s">
        <v>359</v>
      </c>
      <c r="D195" s="46" t="s">
        <v>1030</v>
      </c>
      <c r="E195" s="13" t="s">
        <v>628</v>
      </c>
      <c r="F195" s="13" t="s">
        <v>629</v>
      </c>
      <c r="G195" s="13" t="s">
        <v>225</v>
      </c>
      <c r="H195" s="15">
        <v>32</v>
      </c>
      <c r="I195" s="17" t="s">
        <v>727</v>
      </c>
      <c r="J195" s="19">
        <f>IF(H195&gt;0,(H195*VLOOKUP(Lookups!$K$11,Lookups!$M$10:$P$40,4,0)/VLOOKUP(I195,Lookups!$M$10:$P$40,4,0)),"")</f>
        <v>32.999615999999996</v>
      </c>
      <c r="K195" s="15"/>
      <c r="L195" s="17"/>
      <c r="M195" s="19" t="str">
        <f>IF(K195&gt;0,(K195*VLOOKUP(Lookups!$K$11,Lookups!$M$10:$P$40,4,0)/VLOOKUP(L195,Lookups!$M$10:$P$40,4,0)),"")</f>
        <v/>
      </c>
      <c r="N195" s="15"/>
      <c r="O195" s="17"/>
      <c r="P195" s="19" t="str">
        <f>IF(N195&gt;0,(N195*VLOOKUP(Lookups!$K$11,Lookups!$M$10:$P$40,4,0)/VLOOKUP(O195,Lookups!$M$10:$P$40,4,0)),"")</f>
        <v/>
      </c>
      <c r="Q195" s="77" t="s">
        <v>218</v>
      </c>
      <c r="R195" s="17" t="s">
        <v>621</v>
      </c>
      <c r="S195" s="13" t="s">
        <v>219</v>
      </c>
      <c r="T195" s="4" t="s">
        <v>1912</v>
      </c>
      <c r="U195" s="110" t="s">
        <v>305</v>
      </c>
    </row>
    <row r="196" spans="1:21" s="40" customFormat="1" ht="60" hidden="1" customHeight="1" outlineLevel="1" x14ac:dyDescent="0.2">
      <c r="A196" s="46" t="s">
        <v>688</v>
      </c>
      <c r="B196" s="46" t="s">
        <v>705</v>
      </c>
      <c r="C196" s="46" t="s">
        <v>360</v>
      </c>
      <c r="D196" s="46" t="s">
        <v>1031</v>
      </c>
      <c r="E196" s="13" t="s">
        <v>628</v>
      </c>
      <c r="F196" s="13" t="s">
        <v>629</v>
      </c>
      <c r="G196" s="13" t="s">
        <v>225</v>
      </c>
      <c r="H196" s="15">
        <v>32</v>
      </c>
      <c r="I196" s="17" t="s">
        <v>727</v>
      </c>
      <c r="J196" s="19">
        <f>IF(H196&gt;0,(H196*VLOOKUP(Lookups!$K$11,Lookups!$M$10:$P$40,4,0)/VLOOKUP(I196,Lookups!$M$10:$P$40,4,0)),"")</f>
        <v>32.999615999999996</v>
      </c>
      <c r="K196" s="15"/>
      <c r="L196" s="17"/>
      <c r="M196" s="19" t="str">
        <f>IF(K196&gt;0,(K196*VLOOKUP(Lookups!$K$11,Lookups!$M$10:$P$40,4,0)/VLOOKUP(L196,Lookups!$M$10:$P$40,4,0)),"")</f>
        <v/>
      </c>
      <c r="N196" s="15"/>
      <c r="O196" s="17"/>
      <c r="P196" s="19" t="str">
        <f>IF(N196&gt;0,(N196*VLOOKUP(Lookups!$K$11,Lookups!$M$10:$P$40,4,0)/VLOOKUP(O196,Lookups!$M$10:$P$40,4,0)),"")</f>
        <v/>
      </c>
      <c r="Q196" s="77" t="s">
        <v>220</v>
      </c>
      <c r="R196" s="17" t="s">
        <v>621</v>
      </c>
      <c r="S196" s="13" t="s">
        <v>206</v>
      </c>
      <c r="T196" s="4" t="s">
        <v>1912</v>
      </c>
      <c r="U196" s="110" t="s">
        <v>305</v>
      </c>
    </row>
    <row r="197" spans="1:21" s="40" customFormat="1" ht="60" hidden="1" customHeight="1" outlineLevel="1" x14ac:dyDescent="0.2">
      <c r="A197" s="46" t="s">
        <v>688</v>
      </c>
      <c r="B197" s="46" t="s">
        <v>705</v>
      </c>
      <c r="C197" s="46" t="s">
        <v>361</v>
      </c>
      <c r="D197" s="46" t="s">
        <v>1034</v>
      </c>
      <c r="E197" s="13" t="s">
        <v>628</v>
      </c>
      <c r="F197" s="13" t="s">
        <v>629</v>
      </c>
      <c r="G197" s="13" t="s">
        <v>225</v>
      </c>
      <c r="H197" s="15">
        <v>51</v>
      </c>
      <c r="I197" s="17" t="s">
        <v>727</v>
      </c>
      <c r="J197" s="19">
        <f>IF(H197&gt;0,(H197*VLOOKUP(Lookups!$K$11,Lookups!$M$10:$P$40,4,0)/VLOOKUP(I197,Lookups!$M$10:$P$40,4,0)),"")</f>
        <v>52.593137999999989</v>
      </c>
      <c r="K197" s="15"/>
      <c r="L197" s="17"/>
      <c r="M197" s="19" t="str">
        <f>IF(K197&gt;0,(K197*VLOOKUP(Lookups!$K$11,Lookups!$M$10:$P$40,4,0)/VLOOKUP(L197,Lookups!$M$10:$P$40,4,0)),"")</f>
        <v/>
      </c>
      <c r="N197" s="15"/>
      <c r="O197" s="17"/>
      <c r="P197" s="19" t="str">
        <f>IF(N197&gt;0,(N197*VLOOKUP(Lookups!$K$11,Lookups!$M$10:$P$40,4,0)/VLOOKUP(O197,Lookups!$M$10:$P$40,4,0)),"")</f>
        <v/>
      </c>
      <c r="Q197" s="77" t="s">
        <v>207</v>
      </c>
      <c r="R197" s="17" t="s">
        <v>621</v>
      </c>
      <c r="S197" s="13" t="s">
        <v>208</v>
      </c>
      <c r="T197" s="4" t="s">
        <v>1912</v>
      </c>
      <c r="U197" s="110" t="s">
        <v>305</v>
      </c>
    </row>
    <row r="198" spans="1:21" s="40" customFormat="1" ht="60" customHeight="1" collapsed="1" x14ac:dyDescent="0.2">
      <c r="A198" s="42" t="s">
        <v>688</v>
      </c>
      <c r="B198" s="42" t="s">
        <v>1761</v>
      </c>
      <c r="C198" s="42" t="s">
        <v>1580</v>
      </c>
      <c r="D198" s="42" t="s">
        <v>1677</v>
      </c>
      <c r="E198" s="13" t="s">
        <v>1344</v>
      </c>
      <c r="F198" s="13" t="s">
        <v>629</v>
      </c>
      <c r="G198" s="13" t="s">
        <v>225</v>
      </c>
      <c r="H198" s="15">
        <v>1844</v>
      </c>
      <c r="I198" s="17" t="s">
        <v>663</v>
      </c>
      <c r="J198" s="19">
        <f>IF(H198&gt;0,(H198*VLOOKUP(Lookups!$K$11,Lookups!$M$10:$P$40,4,0)/VLOOKUP(I198,Lookups!$M$10:$P$40,4,0)),"")</f>
        <v>2064.2388884898073</v>
      </c>
      <c r="K198" s="15"/>
      <c r="L198" s="17"/>
      <c r="M198" s="19" t="str">
        <f>IF(K198&gt;0,(K198*VLOOKUP(Lookups!$K$11,Lookups!$M$10:$P$40,4,0)/VLOOKUP(L198,Lookups!$M$10:$P$40,4,0)),"")</f>
        <v/>
      </c>
      <c r="N198" s="15"/>
      <c r="O198" s="17"/>
      <c r="P198" s="19" t="str">
        <f>IF(N198&gt;0,(N198*VLOOKUP(Lookups!$K$11,Lookups!$M$10:$P$40,4,0)/VLOOKUP(O198,Lookups!$M$10:$P$40,4,0)),"")</f>
        <v/>
      </c>
      <c r="Q198" s="16" t="s">
        <v>1060</v>
      </c>
      <c r="R198" s="17" t="s">
        <v>619</v>
      </c>
      <c r="S198" s="13" t="s">
        <v>1058</v>
      </c>
      <c r="T198" s="13"/>
      <c r="U198" s="120" t="s">
        <v>379</v>
      </c>
    </row>
    <row r="199" spans="1:21" s="40" customFormat="1" ht="60" hidden="1" customHeight="1" outlineLevel="2" x14ac:dyDescent="0.2">
      <c r="A199" s="37" t="s">
        <v>688</v>
      </c>
      <c r="B199" s="37" t="s">
        <v>1761</v>
      </c>
      <c r="C199" s="37" t="s">
        <v>376</v>
      </c>
      <c r="D199" s="45" t="s">
        <v>1683</v>
      </c>
      <c r="E199" s="13" t="s">
        <v>1344</v>
      </c>
      <c r="F199" s="13" t="s">
        <v>629</v>
      </c>
      <c r="G199" s="13" t="s">
        <v>225</v>
      </c>
      <c r="H199" s="15">
        <v>682</v>
      </c>
      <c r="I199" s="17" t="s">
        <v>663</v>
      </c>
      <c r="J199" s="19">
        <f>IF(H199&gt;0,(H199*VLOOKUP(Lookups!$K$11,Lookups!$M$10:$P$40,4,0)/VLOOKUP(I199,Lookups!$M$10:$P$40,4,0)),"")</f>
        <v>763.4549468275751</v>
      </c>
      <c r="K199" s="15"/>
      <c r="L199" s="17"/>
      <c r="M199" s="19" t="str">
        <f>IF(K199&gt;0,(K199*VLOOKUP(Lookups!$K$11,Lookups!$M$10:$P$40,4,0)/VLOOKUP(L199,Lookups!$M$10:$P$40,4,0)),"")</f>
        <v/>
      </c>
      <c r="N199" s="15"/>
      <c r="O199" s="17"/>
      <c r="P199" s="19" t="str">
        <f>IF(N199&gt;0,(N199*VLOOKUP(Lookups!$K$11,Lookups!$M$10:$P$40,4,0)/VLOOKUP(O199,Lookups!$M$10:$P$40,4,0)),"")</f>
        <v/>
      </c>
      <c r="Q199" s="16" t="s">
        <v>1060</v>
      </c>
      <c r="R199" s="17" t="s">
        <v>619</v>
      </c>
      <c r="S199" s="13" t="s">
        <v>1687</v>
      </c>
      <c r="T199" s="13"/>
      <c r="U199" s="120" t="s">
        <v>379</v>
      </c>
    </row>
    <row r="200" spans="1:21" s="40" customFormat="1" ht="60" hidden="1" customHeight="1" outlineLevel="2" x14ac:dyDescent="0.2">
      <c r="A200" s="37" t="s">
        <v>688</v>
      </c>
      <c r="B200" s="37" t="s">
        <v>1761</v>
      </c>
      <c r="C200" s="37" t="s">
        <v>377</v>
      </c>
      <c r="D200" s="45" t="s">
        <v>1685</v>
      </c>
      <c r="E200" s="13" t="s">
        <v>1344</v>
      </c>
      <c r="F200" s="13" t="s">
        <v>629</v>
      </c>
      <c r="G200" s="13" t="s">
        <v>225</v>
      </c>
      <c r="H200" s="15">
        <v>1162</v>
      </c>
      <c r="I200" s="17" t="s">
        <v>663</v>
      </c>
      <c r="J200" s="19">
        <f>IF(H200&gt;0,(H200*VLOOKUP(Lookups!$K$11,Lookups!$M$10:$P$40,4,0)/VLOOKUP(I200,Lookups!$M$10:$P$40,4,0)),"")</f>
        <v>1300.7839416622321</v>
      </c>
      <c r="K200" s="15"/>
      <c r="L200" s="17"/>
      <c r="M200" s="19" t="str">
        <f>IF(K200&gt;0,(K200*VLOOKUP(Lookups!$K$11,Lookups!$M$10:$P$40,4,0)/VLOOKUP(L200,Lookups!$M$10:$P$40,4,0)),"")</f>
        <v/>
      </c>
      <c r="N200" s="15"/>
      <c r="O200" s="17"/>
      <c r="P200" s="19" t="str">
        <f>IF(N200&gt;0,(N200*VLOOKUP(Lookups!$K$11,Lookups!$M$10:$P$40,4,0)/VLOOKUP(O200,Lookups!$M$10:$P$40,4,0)),"")</f>
        <v/>
      </c>
      <c r="Q200" s="16" t="s">
        <v>1060</v>
      </c>
      <c r="R200" s="17" t="s">
        <v>619</v>
      </c>
      <c r="S200" s="13" t="s">
        <v>1686</v>
      </c>
      <c r="T200" s="13"/>
      <c r="U200" s="120" t="s">
        <v>379</v>
      </c>
    </row>
    <row r="201" spans="1:21" s="40" customFormat="1" ht="60.75" customHeight="1" collapsed="1" x14ac:dyDescent="0.2">
      <c r="A201" s="42" t="s">
        <v>688</v>
      </c>
      <c r="B201" s="42" t="s">
        <v>1762</v>
      </c>
      <c r="C201" s="42" t="s">
        <v>1763</v>
      </c>
      <c r="D201" s="42" t="s">
        <v>1059</v>
      </c>
      <c r="E201" s="13" t="s">
        <v>1344</v>
      </c>
      <c r="F201" s="13" t="s">
        <v>679</v>
      </c>
      <c r="G201" s="13" t="s">
        <v>1347</v>
      </c>
      <c r="H201" s="15">
        <v>792</v>
      </c>
      <c r="I201" s="17" t="s">
        <v>663</v>
      </c>
      <c r="J201" s="19">
        <f>IF(H201&gt;0,(H201*VLOOKUP(Lookups!$K$11,Lookups!$M$10:$P$40,4,0)/VLOOKUP(I201,Lookups!$M$10:$P$40,4,0)),"")</f>
        <v>886.59284147718392</v>
      </c>
      <c r="K201" s="15"/>
      <c r="L201" s="17"/>
      <c r="M201" s="19" t="str">
        <f>IF(K201&gt;0,(K201*VLOOKUP(Lookups!$K$11,Lookups!$M$10:$P$40,4,0)/VLOOKUP(L201,Lookups!$M$10:$P$40,4,0)),"")</f>
        <v/>
      </c>
      <c r="N201" s="15"/>
      <c r="O201" s="17"/>
      <c r="P201" s="19" t="str">
        <f>IF(N201&gt;0,(N201*VLOOKUP(Lookups!$K$11,Lookups!$M$10:$P$40,4,0)/VLOOKUP(O201,Lookups!$M$10:$P$40,4,0)),"")</f>
        <v/>
      </c>
      <c r="Q201" s="16" t="s">
        <v>1060</v>
      </c>
      <c r="R201" s="17" t="s">
        <v>619</v>
      </c>
      <c r="S201" s="13" t="s">
        <v>1061</v>
      </c>
      <c r="T201" s="13"/>
      <c r="U201" s="120" t="s">
        <v>379</v>
      </c>
    </row>
    <row r="202" spans="1:21" s="40" customFormat="1" ht="60" hidden="1" customHeight="1" outlineLevel="2" x14ac:dyDescent="0.2">
      <c r="A202" s="37" t="s">
        <v>688</v>
      </c>
      <c r="B202" s="37" t="s">
        <v>1762</v>
      </c>
      <c r="C202" s="37" t="s">
        <v>1062</v>
      </c>
      <c r="D202" s="45" t="s">
        <v>1688</v>
      </c>
      <c r="E202" s="13" t="s">
        <v>1344</v>
      </c>
      <c r="F202" s="13" t="s">
        <v>679</v>
      </c>
      <c r="G202" s="13" t="s">
        <v>1347</v>
      </c>
      <c r="H202" s="15">
        <v>81</v>
      </c>
      <c r="I202" s="17" t="s">
        <v>663</v>
      </c>
      <c r="J202" s="19">
        <f>IF(H202&gt;0,(H202*VLOOKUP(Lookups!$K$11,Lookups!$M$10:$P$40,4,0)/VLOOKUP(I202,Lookups!$M$10:$P$40,4,0)),"")</f>
        <v>90.67426787834836</v>
      </c>
      <c r="K202" s="15"/>
      <c r="L202" s="17"/>
      <c r="M202" s="19" t="str">
        <f>IF(K202&gt;0,(K202*VLOOKUP(Lookups!$K$11,Lookups!$M$10:$P$40,4,0)/VLOOKUP(L202,Lookups!$M$10:$P$40,4,0)),"")</f>
        <v/>
      </c>
      <c r="N202" s="15"/>
      <c r="O202" s="17"/>
      <c r="P202" s="19" t="str">
        <f>IF(N202&gt;0,(N202*VLOOKUP(Lookups!$K$11,Lookups!$M$10:$P$40,4,0)/VLOOKUP(O202,Lookups!$M$10:$P$40,4,0)),"")</f>
        <v/>
      </c>
      <c r="Q202" s="16" t="s">
        <v>1060</v>
      </c>
      <c r="R202" s="17" t="s">
        <v>619</v>
      </c>
      <c r="S202" s="13" t="s">
        <v>1689</v>
      </c>
      <c r="T202" s="13"/>
      <c r="U202" s="120" t="s">
        <v>379</v>
      </c>
    </row>
    <row r="203" spans="1:21" s="40" customFormat="1" ht="60" hidden="1" customHeight="1" outlineLevel="2" x14ac:dyDescent="0.2">
      <c r="A203" s="37" t="s">
        <v>688</v>
      </c>
      <c r="B203" s="37" t="s">
        <v>1762</v>
      </c>
      <c r="C203" s="37" t="s">
        <v>1684</v>
      </c>
      <c r="D203" s="45" t="s">
        <v>1690</v>
      </c>
      <c r="E203" s="13" t="s">
        <v>1344</v>
      </c>
      <c r="F203" s="13" t="s">
        <v>679</v>
      </c>
      <c r="G203" s="13" t="s">
        <v>1347</v>
      </c>
      <c r="H203" s="15">
        <v>711</v>
      </c>
      <c r="I203" s="17" t="s">
        <v>663</v>
      </c>
      <c r="J203" s="19">
        <f>IF(H203&gt;0,(H203*VLOOKUP(Lookups!$K$11,Lookups!$M$10:$P$40,4,0)/VLOOKUP(I203,Lookups!$M$10:$P$40,4,0)),"")</f>
        <v>795.91857359883568</v>
      </c>
      <c r="K203" s="15"/>
      <c r="L203" s="17"/>
      <c r="M203" s="19" t="str">
        <f>IF(K203&gt;0,(K203*VLOOKUP(Lookups!$K$11,Lookups!$M$10:$P$40,4,0)/VLOOKUP(L203,Lookups!$M$10:$P$40,4,0)),"")</f>
        <v/>
      </c>
      <c r="N203" s="15"/>
      <c r="O203" s="17"/>
      <c r="P203" s="19" t="str">
        <f>IF(N203&gt;0,(N203*VLOOKUP(Lookups!$K$11,Lookups!$M$10:$P$40,4,0)/VLOOKUP(O203,Lookups!$M$10:$P$40,4,0)),"")</f>
        <v/>
      </c>
      <c r="Q203" s="16" t="s">
        <v>1060</v>
      </c>
      <c r="R203" s="17" t="s">
        <v>619</v>
      </c>
      <c r="S203" s="13" t="s">
        <v>1691</v>
      </c>
      <c r="T203" s="13"/>
      <c r="U203" s="120" t="s">
        <v>379</v>
      </c>
    </row>
    <row r="204" spans="1:21" ht="12.75" customHeight="1" x14ac:dyDescent="0.2">
      <c r="D204" s="80"/>
    </row>
    <row r="205" spans="1:21" ht="12.75" customHeight="1" x14ac:dyDescent="0.2">
      <c r="A205" s="179" t="s">
        <v>1231</v>
      </c>
      <c r="D205" s="80"/>
      <c r="I205" s="60" t="s">
        <v>729</v>
      </c>
      <c r="L205" s="60" t="s">
        <v>729</v>
      </c>
      <c r="O205" s="60" t="s">
        <v>729</v>
      </c>
      <c r="R205" s="38" t="s">
        <v>616</v>
      </c>
      <c r="T205" s="5" t="s">
        <v>1911</v>
      </c>
    </row>
    <row r="206" spans="1:21" ht="12.75" customHeight="1" x14ac:dyDescent="0.2">
      <c r="A206" s="180"/>
      <c r="D206" s="80"/>
      <c r="I206" s="60" t="s">
        <v>728</v>
      </c>
      <c r="L206" s="60" t="s">
        <v>728</v>
      </c>
      <c r="O206" s="60" t="s">
        <v>728</v>
      </c>
      <c r="R206" s="38" t="s">
        <v>619</v>
      </c>
      <c r="T206" s="5" t="s">
        <v>1912</v>
      </c>
    </row>
    <row r="207" spans="1:21" ht="12.75" customHeight="1" x14ac:dyDescent="0.2">
      <c r="A207" s="180"/>
      <c r="D207" s="80"/>
      <c r="I207" s="17" t="s">
        <v>727</v>
      </c>
      <c r="L207" s="17" t="s">
        <v>727</v>
      </c>
      <c r="O207" s="17" t="s">
        <v>727</v>
      </c>
      <c r="R207" s="38" t="s">
        <v>621</v>
      </c>
    </row>
    <row r="208" spans="1:21" ht="12.75" customHeight="1" x14ac:dyDescent="0.2">
      <c r="A208" s="180"/>
      <c r="D208" s="80"/>
      <c r="I208" s="17" t="s">
        <v>726</v>
      </c>
      <c r="L208" s="17" t="s">
        <v>726</v>
      </c>
      <c r="O208" s="17" t="s">
        <v>726</v>
      </c>
    </row>
    <row r="209" spans="1:15" ht="12.75" customHeight="1" x14ac:dyDescent="0.2">
      <c r="A209" s="180"/>
      <c r="D209" s="80"/>
      <c r="I209" s="17" t="s">
        <v>665</v>
      </c>
      <c r="L209" s="17" t="s">
        <v>665</v>
      </c>
      <c r="O209" s="17" t="s">
        <v>665</v>
      </c>
    </row>
    <row r="210" spans="1:15" ht="12.75" customHeight="1" x14ac:dyDescent="0.2">
      <c r="A210" s="180"/>
      <c r="D210" s="80"/>
      <c r="I210" s="17" t="s">
        <v>664</v>
      </c>
      <c r="L210" s="17" t="s">
        <v>664</v>
      </c>
      <c r="O210" s="17" t="s">
        <v>664</v>
      </c>
    </row>
    <row r="211" spans="1:15" ht="12.75" customHeight="1" x14ac:dyDescent="0.2">
      <c r="A211" s="180"/>
      <c r="D211" s="80"/>
      <c r="I211" s="17" t="s">
        <v>663</v>
      </c>
      <c r="L211" s="17" t="s">
        <v>663</v>
      </c>
      <c r="O211" s="17" t="s">
        <v>663</v>
      </c>
    </row>
    <row r="212" spans="1:15" ht="12.75" customHeight="1" x14ac:dyDescent="0.2">
      <c r="A212" s="180"/>
      <c r="D212" s="80"/>
      <c r="I212" s="17" t="s">
        <v>662</v>
      </c>
      <c r="L212" s="17" t="s">
        <v>662</v>
      </c>
      <c r="O212" s="17" t="s">
        <v>662</v>
      </c>
    </row>
    <row r="213" spans="1:15" ht="12.75" customHeight="1" x14ac:dyDescent="0.2">
      <c r="A213" s="180"/>
      <c r="D213" s="80"/>
      <c r="I213" s="17" t="s">
        <v>661</v>
      </c>
      <c r="L213" s="17" t="s">
        <v>661</v>
      </c>
      <c r="O213" s="17" t="s">
        <v>661</v>
      </c>
    </row>
    <row r="214" spans="1:15" ht="12.75" customHeight="1" x14ac:dyDescent="0.2">
      <c r="A214" s="180"/>
      <c r="D214" s="80"/>
      <c r="I214" s="17" t="s">
        <v>660</v>
      </c>
      <c r="L214" s="17" t="s">
        <v>660</v>
      </c>
      <c r="O214" s="17" t="s">
        <v>660</v>
      </c>
    </row>
    <row r="215" spans="1:15" ht="12.75" customHeight="1" x14ac:dyDescent="0.2">
      <c r="A215" s="180"/>
      <c r="D215" s="80"/>
      <c r="I215" s="17" t="s">
        <v>659</v>
      </c>
      <c r="L215" s="17" t="s">
        <v>659</v>
      </c>
      <c r="O215" s="17" t="s">
        <v>659</v>
      </c>
    </row>
    <row r="216" spans="1:15" ht="12.75" customHeight="1" x14ac:dyDescent="0.2">
      <c r="A216" s="180"/>
      <c r="D216" s="80"/>
      <c r="I216" s="17" t="s">
        <v>658</v>
      </c>
      <c r="L216" s="17" t="s">
        <v>658</v>
      </c>
      <c r="O216" s="17" t="s">
        <v>658</v>
      </c>
    </row>
    <row r="217" spans="1:15" ht="12.75" customHeight="1" x14ac:dyDescent="0.2">
      <c r="A217" s="180"/>
      <c r="D217" s="80"/>
      <c r="I217" s="17" t="s">
        <v>657</v>
      </c>
      <c r="L217" s="17" t="s">
        <v>657</v>
      </c>
      <c r="O217" s="17" t="s">
        <v>657</v>
      </c>
    </row>
    <row r="218" spans="1:15" ht="12.75" customHeight="1" x14ac:dyDescent="0.2">
      <c r="A218" s="180"/>
      <c r="D218" s="80"/>
      <c r="I218" s="17" t="s">
        <v>656</v>
      </c>
      <c r="L218" s="17" t="s">
        <v>656</v>
      </c>
      <c r="O218" s="17" t="s">
        <v>656</v>
      </c>
    </row>
    <row r="219" spans="1:15" ht="12.75" customHeight="1" x14ac:dyDescent="0.2">
      <c r="A219" s="180"/>
      <c r="D219" s="80"/>
      <c r="I219" s="17" t="s">
        <v>653</v>
      </c>
      <c r="L219" s="17" t="s">
        <v>653</v>
      </c>
      <c r="O219" s="17" t="s">
        <v>653</v>
      </c>
    </row>
    <row r="220" spans="1:15" ht="12.75" customHeight="1" x14ac:dyDescent="0.2">
      <c r="A220" s="180"/>
      <c r="D220" s="80"/>
      <c r="I220" s="17" t="s">
        <v>654</v>
      </c>
      <c r="L220" s="17" t="s">
        <v>654</v>
      </c>
      <c r="O220" s="17" t="s">
        <v>654</v>
      </c>
    </row>
    <row r="221" spans="1:15" ht="12.75" customHeight="1" x14ac:dyDescent="0.2">
      <c r="A221" s="180"/>
      <c r="D221" s="80"/>
      <c r="I221" s="17" t="s">
        <v>655</v>
      </c>
      <c r="L221" s="17" t="s">
        <v>655</v>
      </c>
      <c r="O221" s="17" t="s">
        <v>655</v>
      </c>
    </row>
    <row r="222" spans="1:15" ht="12.75" customHeight="1" x14ac:dyDescent="0.2">
      <c r="A222" s="180"/>
      <c r="D222" s="80"/>
      <c r="I222" s="17" t="s">
        <v>652</v>
      </c>
      <c r="L222" s="17" t="s">
        <v>652</v>
      </c>
      <c r="O222" s="17" t="s">
        <v>652</v>
      </c>
    </row>
    <row r="223" spans="1:15" ht="12.75" customHeight="1" x14ac:dyDescent="0.2">
      <c r="A223" s="180"/>
      <c r="D223" s="80"/>
      <c r="I223" s="17" t="s">
        <v>651</v>
      </c>
      <c r="L223" s="17" t="s">
        <v>651</v>
      </c>
      <c r="O223" s="17" t="s">
        <v>651</v>
      </c>
    </row>
    <row r="224" spans="1:15" ht="12.75" customHeight="1" x14ac:dyDescent="0.2">
      <c r="A224" s="180"/>
      <c r="D224" s="80"/>
      <c r="I224" s="17" t="s">
        <v>650</v>
      </c>
      <c r="L224" s="17" t="s">
        <v>650</v>
      </c>
      <c r="O224" s="17" t="s">
        <v>650</v>
      </c>
    </row>
    <row r="225" spans="1:15" ht="12.75" customHeight="1" x14ac:dyDescent="0.2">
      <c r="A225" s="180"/>
      <c r="D225" s="80"/>
      <c r="I225" s="17" t="s">
        <v>649</v>
      </c>
      <c r="L225" s="17" t="s">
        <v>649</v>
      </c>
      <c r="O225" s="17" t="s">
        <v>649</v>
      </c>
    </row>
    <row r="226" spans="1:15" ht="12.75" customHeight="1" x14ac:dyDescent="0.2">
      <c r="A226" s="180"/>
      <c r="D226" s="80"/>
      <c r="I226" s="17" t="s">
        <v>725</v>
      </c>
      <c r="L226" s="17" t="s">
        <v>725</v>
      </c>
      <c r="O226" s="17" t="s">
        <v>725</v>
      </c>
    </row>
    <row r="227" spans="1:15" ht="12.75" customHeight="1" x14ac:dyDescent="0.2">
      <c r="A227" s="180"/>
      <c r="D227" s="80"/>
      <c r="I227" s="17" t="s">
        <v>724</v>
      </c>
      <c r="L227" s="17" t="s">
        <v>724</v>
      </c>
      <c r="O227" s="17" t="s">
        <v>724</v>
      </c>
    </row>
    <row r="228" spans="1:15" ht="12.75" customHeight="1" x14ac:dyDescent="0.2">
      <c r="A228" s="180"/>
      <c r="D228" s="80"/>
      <c r="I228" s="60" t="s">
        <v>723</v>
      </c>
      <c r="L228" s="17" t="s">
        <v>723</v>
      </c>
      <c r="O228" s="17" t="s">
        <v>723</v>
      </c>
    </row>
    <row r="229" spans="1:15" ht="12.75" customHeight="1" x14ac:dyDescent="0.2">
      <c r="A229" s="181"/>
      <c r="D229" s="80"/>
      <c r="I229" s="60" t="s">
        <v>722</v>
      </c>
      <c r="L229" s="17" t="s">
        <v>722</v>
      </c>
      <c r="O229" s="17" t="s">
        <v>722</v>
      </c>
    </row>
    <row r="230" spans="1:15" ht="12.75" customHeight="1" x14ac:dyDescent="0.2">
      <c r="D230" s="80"/>
      <c r="I230" s="17" t="s">
        <v>721</v>
      </c>
      <c r="L230" s="17" t="s">
        <v>721</v>
      </c>
      <c r="O230" s="17" t="s">
        <v>721</v>
      </c>
    </row>
    <row r="231" spans="1:15" ht="12.75" customHeight="1" x14ac:dyDescent="0.2">
      <c r="D231" s="80"/>
      <c r="I231" s="17" t="s">
        <v>720</v>
      </c>
      <c r="L231" s="17" t="s">
        <v>720</v>
      </c>
      <c r="O231" s="17" t="s">
        <v>720</v>
      </c>
    </row>
    <row r="232" spans="1:15" ht="12.75" customHeight="1" x14ac:dyDescent="0.2">
      <c r="D232" s="80"/>
    </row>
    <row r="233" spans="1:15" ht="12.75" customHeight="1" x14ac:dyDescent="0.2">
      <c r="D233" s="80"/>
    </row>
    <row r="234" spans="1:15" ht="12.75" customHeight="1" x14ac:dyDescent="0.2">
      <c r="D234" s="80"/>
    </row>
    <row r="235" spans="1:15" ht="12.75" customHeight="1" x14ac:dyDescent="0.2">
      <c r="D235" s="80"/>
    </row>
    <row r="236" spans="1:15" ht="12.75" customHeight="1" x14ac:dyDescent="0.2">
      <c r="D236" s="80"/>
    </row>
    <row r="237" spans="1:15" ht="12.75" customHeight="1" x14ac:dyDescent="0.2">
      <c r="D237" s="80"/>
    </row>
    <row r="238" spans="1:15" ht="12.75" customHeight="1" x14ac:dyDescent="0.2">
      <c r="D238" s="80"/>
    </row>
    <row r="239" spans="1:15" ht="12.75" customHeight="1" x14ac:dyDescent="0.2">
      <c r="D239" s="80"/>
    </row>
    <row r="240" spans="1:15" ht="12.75" customHeight="1" x14ac:dyDescent="0.2">
      <c r="D240" s="80"/>
    </row>
    <row r="241" spans="4:4" ht="12.75" customHeight="1" x14ac:dyDescent="0.2">
      <c r="D241" s="80"/>
    </row>
    <row r="242" spans="4:4" ht="12.75" customHeight="1" x14ac:dyDescent="0.2">
      <c r="D242" s="80"/>
    </row>
    <row r="243" spans="4:4" ht="12.75" customHeight="1" x14ac:dyDescent="0.2">
      <c r="D243" s="80"/>
    </row>
    <row r="244" spans="4:4" ht="12.75" customHeight="1" x14ac:dyDescent="0.2">
      <c r="D244" s="80"/>
    </row>
    <row r="245" spans="4:4" ht="12.75" customHeight="1" x14ac:dyDescent="0.2">
      <c r="D245" s="80"/>
    </row>
    <row r="246" spans="4:4" ht="12.75" customHeight="1" x14ac:dyDescent="0.2">
      <c r="D246" s="80"/>
    </row>
    <row r="247" spans="4:4" ht="12.75" customHeight="1" x14ac:dyDescent="0.2">
      <c r="D247" s="80"/>
    </row>
    <row r="248" spans="4:4" ht="12.75" customHeight="1" x14ac:dyDescent="0.2">
      <c r="D248" s="80"/>
    </row>
    <row r="249" spans="4:4" ht="12.75" customHeight="1" x14ac:dyDescent="0.2">
      <c r="D249" s="80"/>
    </row>
    <row r="250" spans="4:4" ht="12.75" customHeight="1" x14ac:dyDescent="0.2">
      <c r="D250" s="80"/>
    </row>
    <row r="251" spans="4:4" ht="12.75" customHeight="1" x14ac:dyDescent="0.2">
      <c r="D251" s="80"/>
    </row>
    <row r="252" spans="4:4" ht="12.75" customHeight="1" x14ac:dyDescent="0.2">
      <c r="D252" s="80"/>
    </row>
    <row r="253" spans="4:4" ht="12.75" customHeight="1" x14ac:dyDescent="0.2">
      <c r="D253" s="80"/>
    </row>
    <row r="254" spans="4:4" ht="12.75" customHeight="1" x14ac:dyDescent="0.2">
      <c r="D254" s="80"/>
    </row>
    <row r="255" spans="4:4" ht="12.75" customHeight="1" x14ac:dyDescent="0.2">
      <c r="D255" s="80"/>
    </row>
    <row r="256" spans="4:4" ht="12.75" customHeight="1" x14ac:dyDescent="0.2">
      <c r="D256" s="80"/>
    </row>
    <row r="257" spans="4:4" ht="12.75" customHeight="1" x14ac:dyDescent="0.2">
      <c r="D257" s="80"/>
    </row>
    <row r="258" spans="4:4" ht="12.75" customHeight="1" x14ac:dyDescent="0.2">
      <c r="D258" s="80"/>
    </row>
    <row r="259" spans="4:4" ht="12.75" customHeight="1" x14ac:dyDescent="0.2">
      <c r="D259" s="80"/>
    </row>
    <row r="260" spans="4:4" ht="12.75" customHeight="1" x14ac:dyDescent="0.2">
      <c r="D260" s="80"/>
    </row>
    <row r="261" spans="4:4" ht="12.75" customHeight="1" x14ac:dyDescent="0.2">
      <c r="D261" s="80"/>
    </row>
    <row r="262" spans="4:4" ht="12.75" customHeight="1" x14ac:dyDescent="0.2">
      <c r="D262" s="80"/>
    </row>
    <row r="263" spans="4:4" ht="12.75" customHeight="1" x14ac:dyDescent="0.2">
      <c r="D263" s="80"/>
    </row>
    <row r="264" spans="4:4" ht="12.75" customHeight="1" x14ac:dyDescent="0.2">
      <c r="D264" s="80"/>
    </row>
    <row r="265" spans="4:4" ht="12.75" customHeight="1" x14ac:dyDescent="0.2">
      <c r="D265" s="80"/>
    </row>
    <row r="266" spans="4:4" ht="12.75" customHeight="1" x14ac:dyDescent="0.2">
      <c r="D266" s="80"/>
    </row>
    <row r="267" spans="4:4" ht="12.75" customHeight="1" x14ac:dyDescent="0.2">
      <c r="D267" s="80"/>
    </row>
    <row r="268" spans="4:4" ht="12.75" customHeight="1" x14ac:dyDescent="0.2">
      <c r="D268" s="80"/>
    </row>
    <row r="269" spans="4:4" ht="12.75" customHeight="1" x14ac:dyDescent="0.2">
      <c r="D269" s="80"/>
    </row>
    <row r="270" spans="4:4" ht="12.75" customHeight="1" x14ac:dyDescent="0.2">
      <c r="D270" s="80"/>
    </row>
    <row r="271" spans="4:4" ht="12.75" customHeight="1" x14ac:dyDescent="0.2">
      <c r="D271" s="80"/>
    </row>
    <row r="272" spans="4:4" ht="12.75" customHeight="1" x14ac:dyDescent="0.2">
      <c r="D272" s="80"/>
    </row>
    <row r="273" spans="4:4" ht="12.75" customHeight="1" x14ac:dyDescent="0.2">
      <c r="D273" s="80"/>
    </row>
    <row r="274" spans="4:4" ht="12.75" customHeight="1" x14ac:dyDescent="0.2">
      <c r="D274" s="80"/>
    </row>
    <row r="275" spans="4:4" ht="12.75" customHeight="1" x14ac:dyDescent="0.2">
      <c r="D275" s="80"/>
    </row>
    <row r="276" spans="4:4" ht="12.75" customHeight="1" x14ac:dyDescent="0.2">
      <c r="D276" s="80"/>
    </row>
    <row r="277" spans="4:4" ht="12.75" customHeight="1" x14ac:dyDescent="0.2">
      <c r="D277" s="80"/>
    </row>
    <row r="278" spans="4:4" ht="12.75" customHeight="1" x14ac:dyDescent="0.2">
      <c r="D278" s="80"/>
    </row>
    <row r="279" spans="4:4" ht="12.75" customHeight="1" x14ac:dyDescent="0.2">
      <c r="D279" s="80"/>
    </row>
    <row r="280" spans="4:4" ht="12.75" customHeight="1" x14ac:dyDescent="0.2">
      <c r="D280" s="80"/>
    </row>
    <row r="281" spans="4:4" ht="12.75" customHeight="1" x14ac:dyDescent="0.2">
      <c r="D281" s="80"/>
    </row>
    <row r="282" spans="4:4" ht="12.75" customHeight="1" x14ac:dyDescent="0.2">
      <c r="D282" s="80"/>
    </row>
    <row r="283" spans="4:4" ht="12.75" customHeight="1" x14ac:dyDescent="0.2">
      <c r="D283" s="80"/>
    </row>
    <row r="284" spans="4:4" ht="12.75" customHeight="1" x14ac:dyDescent="0.2">
      <c r="D284" s="80"/>
    </row>
    <row r="285" spans="4:4" ht="12.75" customHeight="1" x14ac:dyDescent="0.2">
      <c r="D285" s="80"/>
    </row>
    <row r="286" spans="4:4" ht="12.75" customHeight="1" x14ac:dyDescent="0.2">
      <c r="D286" s="80"/>
    </row>
    <row r="287" spans="4:4" ht="12.75" customHeight="1" x14ac:dyDescent="0.2">
      <c r="D287" s="80"/>
    </row>
    <row r="288" spans="4:4" ht="12.75" customHeight="1" x14ac:dyDescent="0.2">
      <c r="D288" s="80"/>
    </row>
    <row r="289" spans="4:4" ht="12.75" customHeight="1" x14ac:dyDescent="0.2">
      <c r="D289" s="80"/>
    </row>
    <row r="290" spans="4:4" ht="12.75" customHeight="1" x14ac:dyDescent="0.2">
      <c r="D290" s="80"/>
    </row>
    <row r="291" spans="4:4" ht="12.75" customHeight="1" x14ac:dyDescent="0.2">
      <c r="D291" s="80"/>
    </row>
    <row r="292" spans="4:4" ht="12.75" customHeight="1" x14ac:dyDescent="0.2">
      <c r="D292" s="80"/>
    </row>
    <row r="293" spans="4:4" ht="12.75" customHeight="1" x14ac:dyDescent="0.2">
      <c r="D293" s="80"/>
    </row>
    <row r="294" spans="4:4" ht="12.75" customHeight="1" x14ac:dyDescent="0.2">
      <c r="D294" s="80"/>
    </row>
    <row r="295" spans="4:4" ht="12.75" customHeight="1" x14ac:dyDescent="0.2">
      <c r="D295" s="80"/>
    </row>
    <row r="296" spans="4:4" ht="12.75" customHeight="1" x14ac:dyDescent="0.2">
      <c r="D296" s="80"/>
    </row>
    <row r="297" spans="4:4" ht="12.75" customHeight="1" x14ac:dyDescent="0.2">
      <c r="D297" s="80"/>
    </row>
    <row r="298" spans="4:4" ht="12.75" customHeight="1" x14ac:dyDescent="0.2">
      <c r="D298" s="80"/>
    </row>
    <row r="299" spans="4:4" ht="12.75" customHeight="1" x14ac:dyDescent="0.2">
      <c r="D299" s="80"/>
    </row>
    <row r="300" spans="4:4" ht="12.75" customHeight="1" x14ac:dyDescent="0.2">
      <c r="D300" s="80"/>
    </row>
    <row r="301" spans="4:4" ht="12.75" customHeight="1" x14ac:dyDescent="0.2">
      <c r="D301" s="80"/>
    </row>
    <row r="302" spans="4:4" ht="12.75" customHeight="1" x14ac:dyDescent="0.2">
      <c r="D302" s="80"/>
    </row>
    <row r="303" spans="4:4" ht="12.75" customHeight="1" x14ac:dyDescent="0.2">
      <c r="D303" s="80"/>
    </row>
    <row r="304" spans="4:4" ht="12.75" customHeight="1" x14ac:dyDescent="0.2">
      <c r="D304" s="80"/>
    </row>
    <row r="305" spans="4:4" ht="12.75" customHeight="1" x14ac:dyDescent="0.2">
      <c r="D305" s="80"/>
    </row>
    <row r="306" spans="4:4" ht="12.75" customHeight="1" x14ac:dyDescent="0.2">
      <c r="D306" s="80"/>
    </row>
    <row r="307" spans="4:4" ht="12.75" customHeight="1" x14ac:dyDescent="0.2"/>
  </sheetData>
  <autoFilter ref="A2:U2"/>
  <mergeCells count="14">
    <mergeCell ref="A205:A229"/>
    <mergeCell ref="S1:S2"/>
    <mergeCell ref="Q1:Q2"/>
    <mergeCell ref="R1:R2"/>
    <mergeCell ref="F1:G1"/>
    <mergeCell ref="A1:A2"/>
    <mergeCell ref="B1:B2"/>
    <mergeCell ref="T1:U1"/>
    <mergeCell ref="K1:M1"/>
    <mergeCell ref="N1:P1"/>
    <mergeCell ref="C1:C2"/>
    <mergeCell ref="E1:E2"/>
    <mergeCell ref="H1:J1"/>
    <mergeCell ref="D1:D2"/>
  </mergeCells>
  <phoneticPr fontId="5" type="noConversion"/>
  <conditionalFormatting sqref="R205:R207 R3:R203">
    <cfRule type="cellIs" dxfId="40" priority="73" stopIfTrue="1" operator="equal">
      <formula>$R$207</formula>
    </cfRule>
    <cfRule type="cellIs" dxfId="39" priority="74" stopIfTrue="1" operator="equal">
      <formula>$R$206</formula>
    </cfRule>
    <cfRule type="cellIs" dxfId="38" priority="75" stopIfTrue="1" operator="equal">
      <formula>$R$205</formula>
    </cfRule>
  </conditionalFormatting>
  <conditionalFormatting sqref="I205:I231 L205:L231 O205:O231 O3:O203 L3:L203 I3:I203">
    <cfRule type="cellIs" dxfId="37" priority="61" stopIfTrue="1" operator="between">
      <formula>$I$213</formula>
      <formula>$I$231</formula>
    </cfRule>
    <cfRule type="cellIs" dxfId="36" priority="62" stopIfTrue="1" operator="between">
      <formula>$I$212</formula>
      <formula>$I$210</formula>
    </cfRule>
    <cfRule type="cellIs" dxfId="35" priority="63" stopIfTrue="1" operator="between">
      <formula>$I$209</formula>
      <formula>$I$205</formula>
    </cfRule>
  </conditionalFormatting>
  <conditionalFormatting sqref="L112:L113 I93 I95 I89 L115:L121 L123:L124 L126:L134 L136 I61:I70 O4:O18 L3:L18 L21 O21 I3:I4 I7 I10 I76:I83 I30 I108 I13:I25 I74 I33 I97:I98 I111:I140 I102:I104 I37:I43 L138:L151 L23:L110 L153:L203 O23:O203 I142:I203">
    <cfRule type="cellIs" dxfId="34" priority="21" stopIfTrue="1" operator="equal">
      <formula>$I$232</formula>
    </cfRule>
  </conditionalFormatting>
  <dataValidations count="8">
    <dataValidation type="list" allowBlank="1" showInputMessage="1" showErrorMessage="1" sqref="T3:T203">
      <formula1>$T$205:$T$206</formula1>
    </dataValidation>
    <dataValidation type="list" allowBlank="1" showInputMessage="1" showErrorMessage="1" sqref="G3:G19 G25:G203">
      <formula1>Level2agencysaving</formula1>
    </dataValidation>
    <dataValidation type="list" allowBlank="1" showInputMessage="1" showErrorMessage="1" sqref="F3:F203">
      <formula1>Level1agencysaving</formula1>
    </dataValidation>
    <dataValidation type="list" allowBlank="1" showInputMessage="1" showErrorMessage="1" sqref="O3:O203 I3:I203 L3:L203">
      <formula1>Year</formula1>
    </dataValidation>
    <dataValidation type="list" allowBlank="1" showInputMessage="1" showErrorMessage="1" sqref="E3:E203">
      <formula1>Unit</formula1>
    </dataValidation>
    <dataValidation type="list" allowBlank="1" showInputMessage="1" showErrorMessage="1" sqref="R3:R203">
      <formula1>$R$205:$R$207</formula1>
    </dataValidation>
    <dataValidation type="list" allowBlank="1" showInputMessage="1" showErrorMessage="1" sqref="B3:B203">
      <formula1>Outcomedetail</formula1>
    </dataValidation>
    <dataValidation type="list" allowBlank="1" showInputMessage="1" showErrorMessage="1" sqref="A3:A203">
      <formula1>Outcomecategory</formula1>
    </dataValidation>
  </dataValidations>
  <hyperlinks>
    <hyperlink ref="Q111" r:id="rId1" display="Paying the Price, Cost of Mental Health Care In England to 2026 (King's Fund, 2008))"/>
    <hyperlink ref="Q3" r:id="rId2"/>
    <hyperlink ref="Q13" r:id="rId3" display="NICE Clinical Guidline 115: Alcohol Use Disorders - alcohol dependence, costing report (National Institute for Health and Clinical Excellence, 2011)"/>
    <hyperlink ref="Q14" r:id="rId4" display="NICE Clinical Guidline 115: Alcohol Use Disorders - alcohol dependence, costing report (National Institute for Health and Clinical Excellence, 2011)"/>
    <hyperlink ref="Q7" r:id="rId5" display="Unit Costs of Health and Social Care 2012 (Curtis, 2012), p.69"/>
    <hyperlink ref="Q27" r:id="rId6" display="National Schedule of Reference Costs 2011-12 - NHS Trusts and PCTs combined HRG Data (currency code VC26Z)"/>
    <hyperlink ref="Q19" r:id="rId7" display="Estimating the crime reduction benefits of drug treatment and recovery (National Treatment Agency for Substance Misuse, 2012)"/>
    <hyperlink ref="Q20" r:id="rId8" display="Estimating the crime reduction benefits of drug treatment and recovery (National Treatment Agency for Substance Misuse, 2012)"/>
    <hyperlink ref="Q25" r:id="rId9" display="Estimating the crime reduction benefits of drug treatment and recovery (National Treatment Agency for Substance Misuse, 2012)"/>
    <hyperlink ref="Q22" r:id="rId10" display="Estimating the crime reduction benefits of drug treatment and recovery (National Treatment Agency for Substance Misuse, 2012)"/>
    <hyperlink ref="Q18" r:id="rId11" display="Estimating the crime reduction benefits of drug treatment and recovery (National Treatment Agency for Substance Misuse, 2012)"/>
    <hyperlink ref="Q21" r:id="rId12" display="Drug Treatment Outcomes Research Study (DTORS) (Home Office, 2009)"/>
    <hyperlink ref="Q37" r:id="rId13"/>
    <hyperlink ref="Q30" r:id="rId14" display="Unit Costs of Health and Social Care 2012 (Curtis, 2012), p.69"/>
    <hyperlink ref="Q52" r:id="rId15" display="National Schedule of Reference Costs 2011-12 for NHS trusts and NHS foundation trusts"/>
    <hyperlink ref="Q55" r:id="rId16" display="National Schedule of Reference Costs 2011-12 for NHS trusts and NHS foundation trusts"/>
    <hyperlink ref="Q53" r:id="rId17" display="National Schedule of Reference Costs 2011-12 for NHS trusts and NHS foundation trusts"/>
    <hyperlink ref="Q54" r:id="rId18" display="National Schedule of Reference Costs 2011-12 for NHS trusts and NHS foundation trusts"/>
    <hyperlink ref="Q50" r:id="rId19" display="National Schedule of Reference Costs 2011-12 for NHS trusts and NHS foundation trusts"/>
    <hyperlink ref="Q51" r:id="rId20" display="National Schedule of Reference Costs 2011-12 for NHS trusts and NHS foundation trusts"/>
    <hyperlink ref="Q56:Q57" r:id="rId21" display="National Schedule of Reference Costs 2011-12 for NHS trusts and NHS foundation trusts"/>
    <hyperlink ref="Q58" r:id="rId22" display="National Schedule of Reference Costs 2011-12 for NHS trusts and NHS foundation trusts"/>
    <hyperlink ref="Q59" r:id="rId23" display="National Schedule of Reference Costs 2011-12 for NHS trusts and NHS foundation trusts"/>
    <hyperlink ref="Q60" r:id="rId24" display="National Schedule of Reference Costs 2011-12 for NHS trusts and NHS foundation trusts"/>
    <hyperlink ref="Q39" r:id="rId25"/>
    <hyperlink ref="Q40" r:id="rId26"/>
    <hyperlink ref="Q41" r:id="rId27"/>
    <hyperlink ref="Q42" r:id="rId28"/>
    <hyperlink ref="Q43" r:id="rId29"/>
    <hyperlink ref="Q38" r:id="rId30"/>
    <hyperlink ref="Q71" r:id="rId31" display="National Schedule of Reference Costs 2011-12 for NHS trusts and NHS foundation trusts"/>
    <hyperlink ref="Q72" r:id="rId32" display="National Schedule of Reference Costs 2011-12 for NHS trusts and NHS foundation trusts"/>
    <hyperlink ref="Q73" r:id="rId33" display="National Schedule of Reference Costs 2011-12 for NHS trusts and NHS foundation trusts"/>
    <hyperlink ref="Q79" r:id="rId34"/>
    <hyperlink ref="Q80" r:id="rId35"/>
    <hyperlink ref="Q81" r:id="rId36"/>
    <hyperlink ref="Q82" r:id="rId37"/>
    <hyperlink ref="Q83" r:id="rId38"/>
    <hyperlink ref="Q61" r:id="rId39" display="Prevention of CardioVascular Disease: Costing Report (NICE, 2010)"/>
    <hyperlink ref="Q62:Q65" r:id="rId40" display="Prevention of CardioVascular Disease: Costing Report (NICE, 2010)"/>
    <hyperlink ref="Q67" r:id="rId41" display="Prevention of CardioVascular Disease: Costing Report (NICE, 2010)"/>
    <hyperlink ref="Q66" r:id="rId42" display="Prevention of CardioVascular Disease: Costing Report (NICE, 2010)"/>
    <hyperlink ref="Q68" r:id="rId43" display="Prevention of CardioVascular Disease: Costing Report (NICE, 2010)"/>
    <hyperlink ref="Q69" r:id="rId44" display="Prevention of CardioVascular Disease: Costing Report (NICE, 2010)"/>
    <hyperlink ref="Q76" r:id="rId45" display="Impact Assessment of Fracture Prevention Interventions (Department of Health, 2009)"/>
    <hyperlink ref="Q77:Q78" r:id="rId46" display="Impact Assessment of Fracture Prevention Interventions (Department of Health, 2009)"/>
    <hyperlink ref="Q74" r:id="rId47" display="2012-13 tariff information spreadsheet (Department of Health, 2012)"/>
    <hyperlink ref="Q75" r:id="rId48" display="2012-13 tariff information spreadsheet (Department of Health, 2012)"/>
    <hyperlink ref="Q70" r:id="rId49" display="Explaining Variations in Lung Cancer in England (Roy Castle Lung Cancer Foundation, 2011)"/>
    <hyperlink ref="Q92" r:id="rId50" display="National Schedule of Reference Costs 2011-12 for NHS trusts and NHS foundation trusts"/>
    <hyperlink ref="Q114:Q140" r:id="rId51" display="Paying the Price, Cost of Mental Health Care In England to 2026 (King's Fund, 2008))"/>
    <hyperlink ref="Q112" r:id="rId52" display="Paying the Price, Cost of Mental Health Care In England to 2026 (King's Fund, 2008))"/>
    <hyperlink ref="Q113" r:id="rId53" display="Paying the Price, Cost of Mental Health Care In England to 2026 (King's Fund, 2008))"/>
    <hyperlink ref="Q116" r:id="rId54" display="Paying the Price, Cost of Mental Health Care In England to 2026 (King's Fund, 2008))"/>
    <hyperlink ref="Q117" r:id="rId55" display="Paying the Price, Cost of Mental Health Care In England to 2026 (King's Fund, 2008))"/>
    <hyperlink ref="Q118:Q120" r:id="rId56" display="Paying the Price, Cost of Mental Health Care In England to 2026 (King's Fund, 2008))"/>
    <hyperlink ref="Q119" r:id="rId57" display="Paying the Price, Cost of Mental Health Care In England to 2026 (King's Fund, 2008))"/>
    <hyperlink ref="Q120" r:id="rId58" display="Paying the Price, Cost of Mental Health Care In England to 2026 (King's Fund, 2008))"/>
    <hyperlink ref="Q121" r:id="rId59" display="Paying the Price, Cost of Mental Health Care In England to 2026 (King's Fund, 2008))"/>
    <hyperlink ref="Q123" r:id="rId60" display="Paying the Price, Cost of Mental Health Care In England to 2026 (King's Fund, 2008))"/>
    <hyperlink ref="Q124" r:id="rId61" display="Paying the Price, Cost of Mental Health Care In England to 2026 (King's Fund, 2008))"/>
    <hyperlink ref="Q126" r:id="rId62" display="Paying the Price, Cost of Mental Health Care In England to 2026 (King's Fund, 2008))"/>
    <hyperlink ref="Q127" r:id="rId63" display="Paying the Price, Cost of Mental Health Care In England to 2026 (King's Fund, 2008))"/>
    <hyperlink ref="Q129" r:id="rId64" display="Paying the Price, Cost of Mental Health Care In England to 2026 (King's Fund, 2008))"/>
    <hyperlink ref="Q130" r:id="rId65" display="Paying the Price, Cost of Mental Health Care In England to 2026 (King's Fund, 2008))"/>
    <hyperlink ref="Q131" r:id="rId66" display="Paying the Price, Cost of Mental Health Care In England to 2026 (King's Fund, 2008))"/>
    <hyperlink ref="Q133" r:id="rId67" display="Paying the Price, Cost of Mental Health Care In England to 2026 (King's Fund, 2008))"/>
    <hyperlink ref="Q134" r:id="rId68" display="Paying the Price, Cost of Mental Health Care In England to 2026 (King's Fund, 2008))"/>
    <hyperlink ref="Q138" r:id="rId69" display="Paying the Price, Cost of Mental Health Care In England to 2026 (King's Fund, 2008))"/>
    <hyperlink ref="Q139" r:id="rId70" display="Paying the Price, Cost of Mental Health Care In England to 2026 (King's Fund, 2008))"/>
    <hyperlink ref="Q152" r:id="rId71" display="Paying the Price, Cost of Mental Health Care In England to 2026 (King's Fund, 2008))"/>
    <hyperlink ref="Q153" r:id="rId72" display="Paying the Price, Cost of Mental Health Care In England to 2026 (King's Fund, 2008))"/>
    <hyperlink ref="Q154" r:id="rId73" display="Paying the Price, Cost of Mental Health Care In England to 2026 (King's Fund, 2008))"/>
    <hyperlink ref="Q155" r:id="rId74" display="Paying the Price, Cost of Mental Health Care In England to 2026 (King's Fund, 2008))"/>
    <hyperlink ref="Q157" r:id="rId75" display="Paying the Price, Cost of Mental Health Care In England to 2026 (King's Fund, 2008))"/>
    <hyperlink ref="Q156" r:id="rId76" display="Paying the Price, Cost of Mental Health Care In England to 2026 (King's Fund, 2008))"/>
    <hyperlink ref="Q158" r:id="rId77" display="Paying the Price, Cost of Mental Health Care In England to 2026 (King's Fund, 2008))"/>
    <hyperlink ref="Q159" r:id="rId78" display="Paying the Price, Cost of Mental Health Care In England to 2026 (King's Fund, 2008))"/>
    <hyperlink ref="Q141" r:id="rId79" display="National Schedule of Reference Costs 2011-12 for NHS trusts and NHS foundation trusts"/>
    <hyperlink ref="Q160" r:id="rId80" display="National Schedule of Reference Costs 2011-12 for NHS trusts and NHS foundation trusts"/>
    <hyperlink ref="Q163" r:id="rId81" display="National Schedule of Reference Costs 2011-12 for NHS trusts and NHS foundation trusts"/>
    <hyperlink ref="Q165" r:id="rId82" display="National Schedule of Reference Costs 2011-12 for NHS trusts and NHS foundation trusts"/>
    <hyperlink ref="Q166" r:id="rId83" display="National Schedule of Reference Costs 2011-12 for NHS trusts and NHS foundation trusts"/>
    <hyperlink ref="Q167" r:id="rId84" display="National Schedule of Reference Costs 2011-12 for NHS trusts and NHS foundation trusts"/>
    <hyperlink ref="Q201" r:id="rId85" display="Unit Costs of Health &amp; Social Care 2013 (Curtis, 2013), p.28"/>
    <hyperlink ref="Q198" r:id="rId86" display="Unit Costs of Health &amp; Social Care 2013 (Curtis, 2013), p.28"/>
    <hyperlink ref="Q199" r:id="rId87" display="Unit Costs of Health &amp; Social Care 2013 (Curtis, 2013), p.28"/>
    <hyperlink ref="Q200" r:id="rId88" display="Unit Costs of Health &amp; Social Care 2013 (Curtis, 2013), p.28"/>
    <hyperlink ref="Q202" r:id="rId89" display="Unit Costs of Health &amp; Social Care 2013 (Curtis, 2013), p.28"/>
    <hyperlink ref="Q203" r:id="rId90" display="Unit Costs of Health &amp; Social Care 2013 (Curtis, 2013), p.28"/>
    <hyperlink ref="Q180" r:id="rId91" display="Unit Costs of Health &amp; Social Care 2013 (Curtis, 2013), p.28"/>
    <hyperlink ref="Q183" r:id="rId92" display="Unit Costs of Health &amp; Social Care 2013 (Curtis, 2013), p.28"/>
    <hyperlink ref="Q4" r:id="rId93"/>
    <hyperlink ref="Q5" r:id="rId94" display="Reference Cost Collection: National Schedule of Reference Costs - Year 2013-14 - NHS trusts and NHS foundation trusts - Mental Health (currency code ALCAAP)"/>
    <hyperlink ref="Q6" r:id="rId95" display="Reference Cost Collection: National Schedule of Reference Costs - Year 2013-14 - NHS trusts and NHS foundation trusts - Mental Health (currency code ALCAAP)"/>
    <hyperlink ref="Q8" r:id="rId96" display="Reference Cost Collection: National Schedule of Reference Costs - Year 2013-14 - NHS trusts and NHS foundation trusts - Mental Health (currency code ALCAAP)"/>
    <hyperlink ref="Q9" r:id="rId97" display="Reference Cost Collection: National Schedule of Reference Costs - Year 2013-14 - NHS trusts and NHS foundation trusts - Mental Health (currency code ALCAAP)"/>
    <hyperlink ref="Q11" r:id="rId98" display="Reference Cost Collection: National Schedule of Reference Costs - Year 2013-14 - NHS trusts and NHS foundation trusts - Mental Health (currency code ALCAAP)"/>
    <hyperlink ref="Q26" r:id="rId99" display="Reference Cost Collection: National Schedule of Reference Costs - Year 2013-14 - NHS trusts and NHS foundation trusts - Mental Health (currency code ALCAAP)"/>
    <hyperlink ref="Q28" r:id="rId100" display="Reference Cost Collection: National Schedule of Reference Costs - Year 2013-14 - NHS trusts and NHS foundation trusts - Mental Health (currency code ALCAAP)"/>
    <hyperlink ref="Q29" r:id="rId101" display="Reference Cost Collection: National Schedule of Reference Costs - Year 2013-14 - NHS trusts and NHS foundation trusts - Mental Health (currency code ALCAAP)"/>
    <hyperlink ref="Q31" r:id="rId102" display="Reference Cost Collection: National Schedule of Reference Costs - Year 2013-14 - NHS trusts and NHS foundation trusts - Mental Health (currency code ALCAAP)"/>
    <hyperlink ref="Q32" r:id="rId103" display="Reference Cost Collection: National Schedule of Reference Costs - Year 2013-14 - NHS trusts and NHS foundation trusts - Mental Health (currency code ALCAAP)"/>
    <hyperlink ref="Q34" r:id="rId104" display="Reference Cost Collection: National Schedule of Reference Costs - Year 2013-14 - NHS trusts and NHS foundation trusts - Mental Health (currency code ALCAAP)"/>
    <hyperlink ref="Q49" r:id="rId105" display="National Schedule of Reference Costs 2011-12 for NHS trusts and NHS foundation trusts"/>
    <hyperlink ref="Q84" r:id="rId106" display="National Schedule of Reference Costs 2011-12 for NHS trusts and NHS foundation trusts"/>
    <hyperlink ref="Q85" r:id="rId107" display="National Schedule of Reference Costs 2011-12 for NHS trusts and NHS foundation trusts"/>
    <hyperlink ref="Q86" r:id="rId108" display="National Schedule of Reference Costs 2011-12 for NHS trusts and NHS foundation trusts"/>
    <hyperlink ref="Q91" r:id="rId109" display="National Schedule of Reference Costs 2011-12 for NHS trusts and NHS foundation trusts"/>
    <hyperlink ref="Q44" r:id="rId110" display="National Schedule of Reference Costs 2011-12 for NHS trusts and NHS foundation trusts"/>
    <hyperlink ref="Q45" r:id="rId111" display="National Schedule of Reference Costs 2011-12 for NHS trusts and NHS foundation trusts"/>
    <hyperlink ref="Q46" r:id="rId112" display="National Schedule of Reference Costs 2011-12 for NHS trusts and NHS foundation trusts"/>
    <hyperlink ref="Q47" r:id="rId113" display="National Schedule of Reference Costs 2011-12 for NHS trusts and NHS foundation trusts"/>
    <hyperlink ref="Q48" r:id="rId114" display="National Schedule of Reference Costs 2011-12 for NHS trusts and NHS foundation trusts"/>
    <hyperlink ref="Q107" r:id="rId115" display="National Schedule of Reference Costs 2011-12 for NHS trusts and NHS foundation trusts"/>
    <hyperlink ref="Q109" r:id="rId116" display="National Schedule of Reference Costs 2011-12 for NHS trusts and NHS foundation trusts"/>
    <hyperlink ref="Q105" r:id="rId117" display="National Schedule of Reference Costs 2011-12 for NHS trusts and NHS foundation trusts"/>
    <hyperlink ref="Q90" r:id="rId118" display="National Schedule of Reference Costs 2011-12 for NHS trusts and NHS foundation trusts"/>
    <hyperlink ref="Q87" r:id="rId119" display="National Schedule of Reference Costs 2011-12 for NHS trusts and NHS foundation trusts"/>
    <hyperlink ref="Q88" r:id="rId120" display="National Schedule of Reference Costs 2011-12 for NHS trusts and NHS foundation trusts"/>
    <hyperlink ref="Q10" r:id="rId121" display="Unit Costs of Health &amp; Social Care 2014 (Curtis, 2014), p.88"/>
    <hyperlink ref="Q12" r:id="rId122" display="Unit Costs of Health &amp; Social Care 2014 (Curtis, 2014), p.88"/>
    <hyperlink ref="Q15" r:id="rId123" display="Unit Costs of Health &amp; Social Care 2014 (Curtis, 2014), p.88"/>
    <hyperlink ref="Q16" r:id="rId124" display="Unit Costs of Health &amp; Social Care 2014 (Curtis, 2014), p.88"/>
    <hyperlink ref="Q17" r:id="rId125" display="Unit Costs of Health &amp; Social Care 2014 (Curtis, 2014), p.88"/>
    <hyperlink ref="Q33" r:id="rId126" display="Unit Costs of Health &amp; Social Care 2014 (Curtis, 2014), p.88"/>
    <hyperlink ref="Q194" r:id="rId127" display="Unit Costs of Health &amp; Social Care 2014 (Curtis, 2014), p.88"/>
    <hyperlink ref="Q97" r:id="rId128" display="Unit Costs of Health &amp; Social Care 2014 (Curtis, 2014), p.88"/>
    <hyperlink ref="Q98" r:id="rId129" display="Unit Costs of Health &amp; Social Care 2014 (Curtis, 2014), p.88"/>
    <hyperlink ref="Q99" r:id="rId130" display="Unit Costs of Health &amp; Social Care 2014 (Curtis, 2014), p.88"/>
    <hyperlink ref="Q100" r:id="rId131" display="Unit Costs of Health &amp; Social Care 2014 (Curtis, 2014), p.88"/>
    <hyperlink ref="Q101" r:id="rId132" display="Unit Costs of Health &amp; Social Care 2014 (Curtis, 2014), p.88"/>
    <hyperlink ref="Q93" r:id="rId133" display="Unit Costs of Health &amp; Social Care 2014 (Curtis, 2014), p.88"/>
    <hyperlink ref="Q94" r:id="rId134" display="Unit Costs of Health &amp; Social Care 2014 (Curtis, 2014), p.88"/>
    <hyperlink ref="Q95" r:id="rId135" display="Unit Costs of Health &amp; Social Care 2014 (Curtis, 2014), p.88"/>
    <hyperlink ref="Q96" r:id="rId136" display="Unit Costs of Health &amp; Social Care 2014 (Curtis, 2014), p.88"/>
    <hyperlink ref="Q110" r:id="rId137" display="Unit Costs of Health &amp; Social Care 2014 (Curtis, 2014), p.88"/>
    <hyperlink ref="Q106" r:id="rId138" display="Unit Costs of Health &amp; Social Care 2014 (Curtis, 2014), p.88"/>
    <hyperlink ref="Q108" r:id="rId139" display="Unit Costs of Health &amp; Social Care 2014 (Curtis, 2014), p.88"/>
    <hyperlink ref="Q103" r:id="rId140" display="Unit Costs of Health &amp; Social Care 2014 (Curtis, 2014), p.88"/>
    <hyperlink ref="Q104" r:id="rId141" display="Unit Costs of Health &amp; Social Care 2014 (Curtis, 2014), p.88"/>
    <hyperlink ref="Q102" r:id="rId142" display="Unit Costs of Health &amp; Social Care 2014 (Curtis, 2014), p.88"/>
    <hyperlink ref="Q89" r:id="rId143" display="Unit Costs of Health &amp; Social Care 2014 (Curtis, 2014), p.88"/>
    <hyperlink ref="Q142" r:id="rId144" display="Unit Costs of Health &amp; Social Care 2014 (Curtis, 2014), p.88"/>
    <hyperlink ref="Q143" r:id="rId145" display="Unit Costs of Health &amp; Social Care 2014 (Curtis, 2014), p.88"/>
    <hyperlink ref="Q144" r:id="rId146" display="Unit Costs of Health &amp; Social Care 2014 (Curtis, 2014), p.88"/>
    <hyperlink ref="Q145" r:id="rId147" display="Unit Costs of Health &amp; Social Care 2014 (Curtis, 2014), p.88"/>
    <hyperlink ref="Q146" r:id="rId148" display="Unit Costs of Health &amp; Social Care 2014 (Curtis, 2014), p.88"/>
    <hyperlink ref="Q147" r:id="rId149" display="Unit Costs of Health &amp; Social Care 2014 (Curtis, 2014), p.88"/>
    <hyperlink ref="Q148" r:id="rId150" display="Unit Costs of Health &amp; Social Care 2014 (Curtis, 2014), p.88"/>
    <hyperlink ref="Q149" r:id="rId151" display="Unit Costs of Health &amp; Social Care 2014 (Curtis, 2014), p.88"/>
    <hyperlink ref="Q150" r:id="rId152" display="Unit Costs of Health &amp; Social Care 2014 (Curtis, 2014), p.88"/>
    <hyperlink ref="Q168" r:id="rId153" display="Unit Costs of Health &amp; Social Care 2014 (Curtis, 2014), p.88"/>
    <hyperlink ref="Q169" r:id="rId154" display="Unit Costs of Health &amp; Social Care 2014 (Curtis, 2014), p.88"/>
    <hyperlink ref="Q170" r:id="rId155" display="Unit Costs of Health &amp; Social Care 2014 (Curtis, 2014), p.88"/>
    <hyperlink ref="Q171" r:id="rId156" display="Unit Costs of Health &amp; Social Care 2014 (Curtis, 2014), p.88"/>
    <hyperlink ref="Q172" r:id="rId157" display="Unit Costs of Health &amp; Social Care 2014 (Curtis, 2014), p.88"/>
    <hyperlink ref="Q151" r:id="rId158" display="Unit Costs of Health &amp; Social Care 2014 (Curtis, 2014), p.88"/>
    <hyperlink ref="Q177" r:id="rId159" display="Unit Costs of Health &amp; Social Care 2014 (Curtis, 2014), p.88"/>
    <hyperlink ref="Q178" r:id="rId160" display="Unit Costs of Health &amp; Social Care 2014 (Curtis, 2014), p.88"/>
    <hyperlink ref="Q173" r:id="rId161" display="Unit Costs of Health &amp; Social Care 2014 (Curtis, 2014), p.88"/>
    <hyperlink ref="Q174" r:id="rId162" display="Unit Costs of Health &amp; Social Care 2014 (Curtis, 2014), p.88"/>
    <hyperlink ref="Q179" r:id="rId163" display="Unit Costs of Health &amp; Social Care 2014 (Curtis, 2014), p.88"/>
    <hyperlink ref="Q181" r:id="rId164" display="Unit Costs of Health &amp; Social Care 2014 (Curtis, 2014), p.88"/>
    <hyperlink ref="Q182" r:id="rId165" display="Unit Costs of Health &amp; Social Care 2014 (Curtis, 2014), p.88"/>
    <hyperlink ref="Q184" r:id="rId166" display="Unit Costs of Health &amp; Social Care 2014 (Curtis, 2014), p.88"/>
    <hyperlink ref="Q185" r:id="rId167" display="Unit Costs of Health &amp; Social Care 2014 (Curtis, 2014), p.88"/>
    <hyperlink ref="Q186" r:id="rId168" display="Unit Costs of Health &amp; Social Care 2014 (Curtis, 2014), p.88"/>
    <hyperlink ref="Q187" r:id="rId169" display="Unit Costs of Health &amp; Social Care 2014 (Curtis, 2014), p.88"/>
    <hyperlink ref="Q188" r:id="rId170" display="Unit Costs of Health &amp; Social Care 2014 (Curtis, 2014), p.88"/>
    <hyperlink ref="Q189" r:id="rId171" display="Unit Costs of Health &amp; Social Care 2014 (Curtis, 2014), p.88"/>
    <hyperlink ref="Q190" r:id="rId172" display="Unit Costs of Health &amp; Social Care 2014 (Curtis, 2014), p.88"/>
    <hyperlink ref="Q191" r:id="rId173" display="Unit Costs of Health &amp; Social Care 2014 (Curtis, 2014), p.88"/>
    <hyperlink ref="Q192" r:id="rId174" display="Unit Costs of Health &amp; Social Care 2014 (Curtis, 2014), p.88"/>
    <hyperlink ref="Q193" r:id="rId175" display="Unit Costs of Health &amp; Social Care 2014 (Curtis, 2014), p.88"/>
    <hyperlink ref="Q195" r:id="rId176" display="Unit Costs of Health &amp; Social Care 2014 (Curtis, 2014), p.88"/>
    <hyperlink ref="Q196" r:id="rId177" display="Unit Costs of Health &amp; Social Care 2014 (Curtis, 2014), p.88"/>
    <hyperlink ref="Q197" r:id="rId178" display="Unit Costs of Health &amp; Social Care 2014 (Curtis, 2014), p.88"/>
    <hyperlink ref="Q35" r:id="rId179" display="Unit Costs of Health &amp; Social Care 2014 (Curtis, 2014), p.88"/>
    <hyperlink ref="Q36" r:id="rId180" display="Unit Costs of Health &amp; Social Care 2014 (Curtis, 2014), p.88"/>
    <hyperlink ref="Q161" r:id="rId181" display="National Schedule of Reference Costs 2011-12 for NHS trusts and NHS foundation trusts"/>
    <hyperlink ref="Q162" r:id="rId182" display="National Schedule of Reference Costs 2011-12 for NHS trusts and NHS foundation trusts"/>
  </hyperlinks>
  <pageMargins left="0.74803149606299213" right="0.74803149606299213" top="0.98425196850393704" bottom="0.98425196850393704" header="0.51181102362204722" footer="0.51181102362204722"/>
  <pageSetup paperSize="8" scale="44" orientation="landscape" r:id="rId18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sheetPr>
  <dimension ref="A1:U142"/>
  <sheetViews>
    <sheetView showGridLines="0" zoomScale="80" zoomScaleNormal="80" workbookViewId="0">
      <pane xSplit="4" ySplit="2" topLeftCell="E3" activePane="bottomRight" state="frozen"/>
      <selection pane="topRight" activeCell="E1" sqref="E1"/>
      <selection pane="bottomLeft" activeCell="A3" sqref="A3"/>
      <selection pane="bottomRight" sqref="A1:A2"/>
    </sheetView>
  </sheetViews>
  <sheetFormatPr defaultRowHeight="12.75" outlineLevelRow="2" x14ac:dyDescent="0.2"/>
  <cols>
    <col min="1" max="1" width="12.625" style="79" customWidth="1"/>
    <col min="2" max="2" width="14.125" style="79" customWidth="1"/>
    <col min="3" max="3" width="8.5" style="79" customWidth="1"/>
    <col min="4" max="4" width="43.25" style="79" customWidth="1"/>
    <col min="5" max="5" width="15" style="79" customWidth="1"/>
    <col min="6" max="6" width="16" style="79" customWidth="1"/>
    <col min="7" max="7" width="15.75" style="79" customWidth="1"/>
    <col min="8" max="8" width="12.5" style="79" bestFit="1" customWidth="1"/>
    <col min="9" max="9" width="10" style="79" customWidth="1"/>
    <col min="10" max="11" width="12.5" style="79" bestFit="1" customWidth="1"/>
    <col min="12" max="12" width="10" style="79" customWidth="1"/>
    <col min="13" max="14" width="12.5" style="79" bestFit="1" customWidth="1"/>
    <col min="15" max="15" width="10" style="79" customWidth="1"/>
    <col min="16" max="16" width="12.5" style="79" bestFit="1" customWidth="1"/>
    <col min="17" max="17" width="46.125" style="79" customWidth="1"/>
    <col min="18" max="18" width="12.5" style="79" customWidth="1"/>
    <col min="19" max="19" width="78.25" style="79" customWidth="1"/>
    <col min="20" max="20" width="10.125" style="79" customWidth="1"/>
    <col min="21" max="21" width="20.875" style="79" customWidth="1"/>
    <col min="22" max="16384" width="9" style="79"/>
  </cols>
  <sheetData>
    <row r="1" spans="1:21" s="51" customFormat="1" ht="31.5" customHeight="1" x14ac:dyDescent="0.2">
      <c r="A1" s="182" t="s">
        <v>715</v>
      </c>
      <c r="B1" s="178" t="s">
        <v>716</v>
      </c>
      <c r="C1" s="178" t="s">
        <v>1409</v>
      </c>
      <c r="D1" s="178" t="s">
        <v>717</v>
      </c>
      <c r="E1" s="178" t="s">
        <v>644</v>
      </c>
      <c r="F1" s="178" t="s">
        <v>1778</v>
      </c>
      <c r="G1" s="178"/>
      <c r="H1" s="178" t="s">
        <v>1859</v>
      </c>
      <c r="I1" s="178"/>
      <c r="J1" s="178"/>
      <c r="K1" s="178" t="s">
        <v>1860</v>
      </c>
      <c r="L1" s="178"/>
      <c r="M1" s="178"/>
      <c r="N1" s="178" t="s">
        <v>1861</v>
      </c>
      <c r="O1" s="178"/>
      <c r="P1" s="178"/>
      <c r="Q1" s="178" t="s">
        <v>643</v>
      </c>
      <c r="R1" s="178" t="s">
        <v>966</v>
      </c>
      <c r="S1" s="178" t="s">
        <v>1408</v>
      </c>
      <c r="T1" s="178" t="s">
        <v>68</v>
      </c>
      <c r="U1" s="185"/>
    </row>
    <row r="2" spans="1:21" s="51" customFormat="1" ht="30" customHeight="1" collapsed="1" x14ac:dyDescent="0.2">
      <c r="A2" s="183"/>
      <c r="B2" s="184"/>
      <c r="C2" s="184"/>
      <c r="D2" s="184"/>
      <c r="E2" s="184"/>
      <c r="F2" s="107" t="s">
        <v>672</v>
      </c>
      <c r="G2" s="107" t="s">
        <v>673</v>
      </c>
      <c r="H2" s="107" t="s">
        <v>718</v>
      </c>
      <c r="I2" s="107" t="s">
        <v>648</v>
      </c>
      <c r="J2" s="107" t="s">
        <v>1403</v>
      </c>
      <c r="K2" s="107" t="s">
        <v>718</v>
      </c>
      <c r="L2" s="107" t="s">
        <v>648</v>
      </c>
      <c r="M2" s="107" t="s">
        <v>1403</v>
      </c>
      <c r="N2" s="107" t="s">
        <v>718</v>
      </c>
      <c r="O2" s="107" t="s">
        <v>648</v>
      </c>
      <c r="P2" s="107" t="s">
        <v>1403</v>
      </c>
      <c r="Q2" s="184"/>
      <c r="R2" s="184"/>
      <c r="S2" s="184"/>
      <c r="T2" s="108" t="s">
        <v>1910</v>
      </c>
      <c r="U2" s="109" t="s">
        <v>1909</v>
      </c>
    </row>
    <row r="3" spans="1:21" s="90" customFormat="1" ht="75.75" customHeight="1" collapsed="1" x14ac:dyDescent="0.2">
      <c r="A3" s="44" t="s">
        <v>647</v>
      </c>
      <c r="B3" s="44" t="s">
        <v>1376</v>
      </c>
      <c r="C3" s="44" t="s">
        <v>1304</v>
      </c>
      <c r="D3" s="44" t="s">
        <v>1632</v>
      </c>
      <c r="E3" s="37" t="s">
        <v>637</v>
      </c>
      <c r="F3" s="37" t="s">
        <v>1384</v>
      </c>
      <c r="G3" s="37" t="s">
        <v>680</v>
      </c>
      <c r="H3" s="89">
        <v>6680</v>
      </c>
      <c r="I3" s="17" t="s">
        <v>664</v>
      </c>
      <c r="J3" s="19">
        <f>IF(H3&gt;0,(H3*VLOOKUP(Lookups!$K$11,Lookups!$M$10:$P$40,4,0)/VLOOKUP(I3,Lookups!$M$10:$P$40,4,0)),"")</f>
        <v>7276.4172811079088</v>
      </c>
      <c r="K3" s="89"/>
      <c r="L3" s="17"/>
      <c r="M3" s="19" t="str">
        <f>IF(K3&gt;0,(K3*VLOOKUP(Lookups!$K$11,Lookups!$M$10:$P$40,4,0)/VLOOKUP(L3,Lookups!$M$10:$P$40,4,0)),"")</f>
        <v/>
      </c>
      <c r="N3" s="89"/>
      <c r="O3" s="17"/>
      <c r="P3" s="19" t="str">
        <f>IF(N3&gt;0,(N3*VLOOKUP(Lookups!$K$11,Lookups!$M$10:$P$40,4,0)/VLOOKUP(O3,Lookups!$M$10:$P$40,4,0)),"")</f>
        <v/>
      </c>
      <c r="Q3" s="96" t="s">
        <v>1635</v>
      </c>
      <c r="R3" s="38" t="s">
        <v>619</v>
      </c>
      <c r="S3" s="37" t="s">
        <v>900</v>
      </c>
      <c r="T3" s="37"/>
      <c r="U3" s="37"/>
    </row>
    <row r="4" spans="1:21" s="90" customFormat="1" ht="60" hidden="1" customHeight="1" outlineLevel="2" collapsed="1" x14ac:dyDescent="0.2">
      <c r="A4" s="37" t="s">
        <v>647</v>
      </c>
      <c r="B4" s="37" t="s">
        <v>1376</v>
      </c>
      <c r="C4" s="37" t="s">
        <v>1305</v>
      </c>
      <c r="D4" s="45" t="s">
        <v>1633</v>
      </c>
      <c r="E4" s="37" t="s">
        <v>637</v>
      </c>
      <c r="F4" s="37" t="s">
        <v>1384</v>
      </c>
      <c r="G4" s="37" t="s">
        <v>680</v>
      </c>
      <c r="H4" s="89">
        <v>1900</v>
      </c>
      <c r="I4" s="17" t="s">
        <v>664</v>
      </c>
      <c r="J4" s="19">
        <f>IF(H4&gt;0,(H4*VLOOKUP(Lookups!$K$11,Lookups!$M$10:$P$40,4,0)/VLOOKUP(I4,Lookups!$M$10:$P$40,4,0)),"")</f>
        <v>2069.6396458241061</v>
      </c>
      <c r="K4" s="89"/>
      <c r="L4" s="17"/>
      <c r="M4" s="19" t="str">
        <f>IF(K4&gt;0,(K4*VLOOKUP(Lookups!$K$11,Lookups!$M$10:$P$40,4,0)/VLOOKUP(L4,Lookups!$M$10:$P$40,4,0)),"")</f>
        <v/>
      </c>
      <c r="N4" s="89"/>
      <c r="O4" s="17"/>
      <c r="P4" s="19" t="str">
        <f>IF(N4&gt;0,(N4*VLOOKUP(Lookups!$K$11,Lookups!$M$10:$P$40,4,0)/VLOOKUP(O4,Lookups!$M$10:$P$40,4,0)),"")</f>
        <v/>
      </c>
      <c r="Q4" s="96" t="s">
        <v>1635</v>
      </c>
      <c r="R4" s="38" t="s">
        <v>619</v>
      </c>
      <c r="S4" s="37" t="s">
        <v>901</v>
      </c>
      <c r="T4" s="37"/>
      <c r="U4" s="37"/>
    </row>
    <row r="5" spans="1:21" s="90" customFormat="1" ht="60" hidden="1" customHeight="1" outlineLevel="2" collapsed="1" x14ac:dyDescent="0.2">
      <c r="A5" s="37" t="s">
        <v>647</v>
      </c>
      <c r="B5" s="37" t="s">
        <v>1376</v>
      </c>
      <c r="C5" s="37" t="s">
        <v>1306</v>
      </c>
      <c r="D5" s="45" t="s">
        <v>1652</v>
      </c>
      <c r="E5" s="37" t="s">
        <v>637</v>
      </c>
      <c r="F5" s="37" t="s">
        <v>1384</v>
      </c>
      <c r="G5" s="37" t="s">
        <v>680</v>
      </c>
      <c r="H5" s="89">
        <v>1119</v>
      </c>
      <c r="I5" s="17" t="s">
        <v>664</v>
      </c>
      <c r="J5" s="19">
        <f>IF(H5&gt;0,(H5*VLOOKUP(Lookups!$K$11,Lookups!$M$10:$P$40,4,0)/VLOOKUP(I5,Lookups!$M$10:$P$40,4,0)),"")</f>
        <v>1218.9088229879865</v>
      </c>
      <c r="K5" s="89"/>
      <c r="L5" s="17"/>
      <c r="M5" s="19" t="str">
        <f>IF(K5&gt;0,(K5*VLOOKUP(Lookups!$K$11,Lookups!$M$10:$P$40,4,0)/VLOOKUP(L5,Lookups!$M$10:$P$40,4,0)),"")</f>
        <v/>
      </c>
      <c r="N5" s="89"/>
      <c r="O5" s="17"/>
      <c r="P5" s="19" t="str">
        <f>IF(N5&gt;0,(N5*VLOOKUP(Lookups!$K$11,Lookups!$M$10:$P$40,4,0)/VLOOKUP(O5,Lookups!$M$10:$P$40,4,0)),"")</f>
        <v/>
      </c>
      <c r="Q5" s="96" t="s">
        <v>1635</v>
      </c>
      <c r="R5" s="38" t="s">
        <v>619</v>
      </c>
      <c r="S5" s="37" t="s">
        <v>1653</v>
      </c>
      <c r="T5" s="37"/>
      <c r="U5" s="37"/>
    </row>
    <row r="6" spans="1:21" s="90" customFormat="1" ht="60" hidden="1" customHeight="1" outlineLevel="2" collapsed="1" x14ac:dyDescent="0.2">
      <c r="A6" s="37" t="s">
        <v>647</v>
      </c>
      <c r="B6" s="37" t="s">
        <v>1376</v>
      </c>
      <c r="C6" s="37" t="s">
        <v>1307</v>
      </c>
      <c r="D6" s="45" t="s">
        <v>1659</v>
      </c>
      <c r="E6" s="37" t="s">
        <v>637</v>
      </c>
      <c r="F6" s="37" t="s">
        <v>1384</v>
      </c>
      <c r="G6" s="37" t="s">
        <v>680</v>
      </c>
      <c r="H6" s="89">
        <v>2787</v>
      </c>
      <c r="I6" s="17" t="s">
        <v>664</v>
      </c>
      <c r="J6" s="19">
        <f>IF(H6&gt;0,(H6*VLOOKUP(Lookups!$K$11,Lookups!$M$10:$P$40,4,0)/VLOOKUP(I6,Lookups!$M$10:$P$40,4,0)),"")</f>
        <v>3035.8345752167279</v>
      </c>
      <c r="K6" s="89"/>
      <c r="L6" s="17"/>
      <c r="M6" s="19" t="str">
        <f>IF(K6&gt;0,(K6*VLOOKUP(Lookups!$K$11,Lookups!$M$10:$P$40,4,0)/VLOOKUP(L6,Lookups!$M$10:$P$40,4,0)),"")</f>
        <v/>
      </c>
      <c r="N6" s="89"/>
      <c r="O6" s="17"/>
      <c r="P6" s="19" t="str">
        <f>IF(N6&gt;0,(N6*VLOOKUP(Lookups!$K$11,Lookups!$M$10:$P$40,4,0)/VLOOKUP(O6,Lookups!$M$10:$P$40,4,0)),"")</f>
        <v/>
      </c>
      <c r="Q6" s="96" t="s">
        <v>1635</v>
      </c>
      <c r="R6" s="38" t="s">
        <v>619</v>
      </c>
      <c r="S6" s="37" t="s">
        <v>1814</v>
      </c>
      <c r="T6" s="37"/>
      <c r="U6" s="37"/>
    </row>
    <row r="7" spans="1:21" s="90" customFormat="1" ht="60" hidden="1" customHeight="1" outlineLevel="2" collapsed="1" x14ac:dyDescent="0.2">
      <c r="A7" s="37" t="s">
        <v>647</v>
      </c>
      <c r="B7" s="37" t="s">
        <v>1376</v>
      </c>
      <c r="C7" s="37" t="s">
        <v>1308</v>
      </c>
      <c r="D7" s="45" t="s">
        <v>1655</v>
      </c>
      <c r="E7" s="37" t="s">
        <v>620</v>
      </c>
      <c r="F7" s="37" t="s">
        <v>1644</v>
      </c>
      <c r="G7" s="37" t="s">
        <v>666</v>
      </c>
      <c r="H7" s="89">
        <v>174</v>
      </c>
      <c r="I7" s="17" t="s">
        <v>664</v>
      </c>
      <c r="J7" s="19">
        <f>IF(H7&gt;0,(H7*VLOOKUP(Lookups!$K$11,Lookups!$M$10:$P$40,4,0)/VLOOKUP(I7,Lookups!$M$10:$P$40,4,0)),"")</f>
        <v>189.53542019652338</v>
      </c>
      <c r="K7" s="89"/>
      <c r="L7" s="17"/>
      <c r="M7" s="19" t="str">
        <f>IF(K7&gt;0,(K7*VLOOKUP(Lookups!$K$11,Lookups!$M$10:$P$40,4,0)/VLOOKUP(L7,Lookups!$M$10:$P$40,4,0)),"")</f>
        <v/>
      </c>
      <c r="N7" s="89"/>
      <c r="O7" s="17"/>
      <c r="P7" s="19" t="str">
        <f>IF(N7&gt;0,(N7*VLOOKUP(Lookups!$K$11,Lookups!$M$10:$P$40,4,0)/VLOOKUP(O7,Lookups!$M$10:$P$40,4,0)),"")</f>
        <v/>
      </c>
      <c r="Q7" s="96" t="s">
        <v>1635</v>
      </c>
      <c r="R7" s="38" t="s">
        <v>619</v>
      </c>
      <c r="S7" s="37" t="s">
        <v>1936</v>
      </c>
      <c r="T7" s="37"/>
      <c r="U7" s="37"/>
    </row>
    <row r="8" spans="1:21" s="90" customFormat="1" ht="60" hidden="1" customHeight="1" outlineLevel="2" collapsed="1" x14ac:dyDescent="0.2">
      <c r="A8" s="37" t="s">
        <v>647</v>
      </c>
      <c r="B8" s="37" t="s">
        <v>1376</v>
      </c>
      <c r="C8" s="37" t="s">
        <v>1309</v>
      </c>
      <c r="D8" s="45" t="s">
        <v>1939</v>
      </c>
      <c r="E8" s="37" t="s">
        <v>1640</v>
      </c>
      <c r="F8" s="37" t="s">
        <v>1384</v>
      </c>
      <c r="G8" s="37"/>
      <c r="H8" s="89">
        <v>375</v>
      </c>
      <c r="I8" s="17" t="s">
        <v>664</v>
      </c>
      <c r="J8" s="19">
        <f>IF(H8&gt;0,(H8*VLOOKUP(Lookups!$K$11,Lookups!$M$10:$P$40,4,0)/VLOOKUP(I8,Lookups!$M$10:$P$40,4,0)),"")</f>
        <v>408.48150904423142</v>
      </c>
      <c r="K8" s="89"/>
      <c r="L8" s="17"/>
      <c r="M8" s="19" t="str">
        <f>IF(K8&gt;0,(K8*VLOOKUP(Lookups!$K$11,Lookups!$M$10:$P$40,4,0)/VLOOKUP(L8,Lookups!$M$10:$P$40,4,0)),"")</f>
        <v/>
      </c>
      <c r="N8" s="89"/>
      <c r="O8" s="17"/>
      <c r="P8" s="19" t="str">
        <f>IF(N8&gt;0,(N8*VLOOKUP(Lookups!$K$11,Lookups!$M$10:$P$40,4,0)/VLOOKUP(O8,Lookups!$M$10:$P$40,4,0)),"")</f>
        <v/>
      </c>
      <c r="Q8" s="96" t="s">
        <v>1635</v>
      </c>
      <c r="R8" s="38" t="s">
        <v>619</v>
      </c>
      <c r="S8" s="37" t="s">
        <v>1646</v>
      </c>
      <c r="T8" s="37"/>
      <c r="U8" s="37"/>
    </row>
    <row r="9" spans="1:21" s="90" customFormat="1" ht="60" hidden="1" customHeight="1" outlineLevel="2" collapsed="1" x14ac:dyDescent="0.2">
      <c r="A9" s="37" t="s">
        <v>647</v>
      </c>
      <c r="B9" s="37" t="s">
        <v>1376</v>
      </c>
      <c r="C9" s="37" t="s">
        <v>1310</v>
      </c>
      <c r="D9" s="45" t="s">
        <v>1634</v>
      </c>
      <c r="E9" s="37" t="s">
        <v>631</v>
      </c>
      <c r="F9" s="37" t="s">
        <v>1384</v>
      </c>
      <c r="G9" s="37" t="s">
        <v>683</v>
      </c>
      <c r="H9" s="89">
        <v>162.44</v>
      </c>
      <c r="I9" s="17" t="s">
        <v>664</v>
      </c>
      <c r="J9" s="19">
        <f>IF(H9&gt;0,(H9*VLOOKUP(Lookups!$K$11,Lookups!$M$10:$P$40,4,0)/VLOOKUP(I9,Lookups!$M$10:$P$40,4,0)),"")</f>
        <v>176.94329687771986</v>
      </c>
      <c r="K9" s="89"/>
      <c r="L9" s="17"/>
      <c r="M9" s="19" t="str">
        <f>IF(K9&gt;0,(K9*VLOOKUP(Lookups!$K$11,Lookups!$M$10:$P$40,4,0)/VLOOKUP(L9,Lookups!$M$10:$P$40,4,0)),"")</f>
        <v/>
      </c>
      <c r="N9" s="89"/>
      <c r="O9" s="17"/>
      <c r="P9" s="19" t="str">
        <f>IF(N9&gt;0,(N9*VLOOKUP(Lookups!$K$11,Lookups!$M$10:$P$40,4,0)/VLOOKUP(O9,Lookups!$M$10:$P$40,4,0)),"")</f>
        <v/>
      </c>
      <c r="Q9" s="96" t="s">
        <v>1635</v>
      </c>
      <c r="R9" s="38" t="s">
        <v>619</v>
      </c>
      <c r="S9" s="37" t="s">
        <v>1943</v>
      </c>
      <c r="T9" s="37"/>
      <c r="U9" s="37"/>
    </row>
    <row r="10" spans="1:21" s="90" customFormat="1" ht="60" customHeight="1" collapsed="1" x14ac:dyDescent="0.2">
      <c r="A10" s="44" t="s">
        <v>647</v>
      </c>
      <c r="B10" s="44" t="s">
        <v>1376</v>
      </c>
      <c r="C10" s="44" t="s">
        <v>1311</v>
      </c>
      <c r="D10" s="44" t="s">
        <v>1636</v>
      </c>
      <c r="E10" s="37" t="s">
        <v>637</v>
      </c>
      <c r="F10" s="37" t="s">
        <v>1384</v>
      </c>
      <c r="G10" s="37" t="s">
        <v>680</v>
      </c>
      <c r="H10" s="89">
        <v>690</v>
      </c>
      <c r="I10" s="17" t="s">
        <v>664</v>
      </c>
      <c r="J10" s="19">
        <f>IF(H10&gt;0,(H10*VLOOKUP(Lookups!$K$11,Lookups!$M$10:$P$40,4,0)/VLOOKUP(I10,Lookups!$M$10:$P$40,4,0)),"")</f>
        <v>751.60597664138572</v>
      </c>
      <c r="K10" s="89"/>
      <c r="L10" s="17"/>
      <c r="M10" s="19" t="str">
        <f>IF(K10&gt;0,(K10*VLOOKUP(Lookups!$K$11,Lookups!$M$10:$P$40,4,0)/VLOOKUP(L10,Lookups!$M$10:$P$40,4,0)),"")</f>
        <v/>
      </c>
      <c r="N10" s="89"/>
      <c r="O10" s="17"/>
      <c r="P10" s="19" t="str">
        <f>IF(N10&gt;0,(N10*VLOOKUP(Lookups!$K$11,Lookups!$M$10:$P$40,4,0)/VLOOKUP(O10,Lookups!$M$10:$P$40,4,0)),"")</f>
        <v/>
      </c>
      <c r="Q10" s="96" t="s">
        <v>1637</v>
      </c>
      <c r="R10" s="38" t="s">
        <v>619</v>
      </c>
      <c r="S10" s="37" t="s">
        <v>1737</v>
      </c>
      <c r="T10" s="37"/>
      <c r="U10" s="37"/>
    </row>
    <row r="11" spans="1:21" s="90" customFormat="1" ht="60" hidden="1" customHeight="1" outlineLevel="2" collapsed="1" x14ac:dyDescent="0.2">
      <c r="A11" s="37" t="s">
        <v>647</v>
      </c>
      <c r="B11" s="37" t="s">
        <v>1376</v>
      </c>
      <c r="C11" s="37" t="s">
        <v>1312</v>
      </c>
      <c r="D11" s="45" t="s">
        <v>1638</v>
      </c>
      <c r="E11" s="37" t="s">
        <v>1654</v>
      </c>
      <c r="F11" s="37" t="s">
        <v>1384</v>
      </c>
      <c r="G11" s="37" t="s">
        <v>680</v>
      </c>
      <c r="H11" s="89">
        <v>642</v>
      </c>
      <c r="I11" s="17" t="s">
        <v>664</v>
      </c>
      <c r="J11" s="19">
        <f>IF(H11&gt;0,(H11*VLOOKUP(Lookups!$K$11,Lookups!$M$10:$P$40,4,0)/VLOOKUP(I11,Lookups!$M$10:$P$40,4,0)),"")</f>
        <v>699.32034348372417</v>
      </c>
      <c r="K11" s="89"/>
      <c r="L11" s="17"/>
      <c r="M11" s="19" t="str">
        <f>IF(K11&gt;0,(K11*VLOOKUP(Lookups!$K$11,Lookups!$M$10:$P$40,4,0)/VLOOKUP(L11,Lookups!$M$10:$P$40,4,0)),"")</f>
        <v/>
      </c>
      <c r="N11" s="89"/>
      <c r="O11" s="17"/>
      <c r="P11" s="19" t="str">
        <f>IF(N11&gt;0,(N11*VLOOKUP(Lookups!$K$11,Lookups!$M$10:$P$40,4,0)/VLOOKUP(O11,Lookups!$M$10:$P$40,4,0)),"")</f>
        <v/>
      </c>
      <c r="Q11" s="96" t="s">
        <v>1637</v>
      </c>
      <c r="R11" s="38" t="s">
        <v>619</v>
      </c>
      <c r="S11" s="37" t="s">
        <v>1645</v>
      </c>
      <c r="T11" s="37"/>
      <c r="U11" s="37"/>
    </row>
    <row r="12" spans="1:21" s="90" customFormat="1" ht="60" hidden="1" customHeight="1" outlineLevel="2" collapsed="1" x14ac:dyDescent="0.2">
      <c r="A12" s="37" t="s">
        <v>647</v>
      </c>
      <c r="B12" s="37" t="s">
        <v>1376</v>
      </c>
      <c r="C12" s="37" t="s">
        <v>1313</v>
      </c>
      <c r="D12" s="45" t="s">
        <v>1639</v>
      </c>
      <c r="E12" s="37" t="s">
        <v>1640</v>
      </c>
      <c r="F12" s="37" t="s">
        <v>683</v>
      </c>
      <c r="G12" s="37" t="s">
        <v>666</v>
      </c>
      <c r="H12" s="89">
        <v>48</v>
      </c>
      <c r="I12" s="17" t="s">
        <v>664</v>
      </c>
      <c r="J12" s="19">
        <f>IF(H12&gt;0,(H12*VLOOKUP(Lookups!$K$11,Lookups!$M$10:$P$40,4,0)/VLOOKUP(I12,Lookups!$M$10:$P$40,4,0)),"")</f>
        <v>52.285633157661621</v>
      </c>
      <c r="K12" s="89"/>
      <c r="L12" s="17"/>
      <c r="M12" s="19" t="str">
        <f>IF(K12&gt;0,(K12*VLOOKUP(Lookups!$K$11,Lookups!$M$10:$P$40,4,0)/VLOOKUP(L12,Lookups!$M$10:$P$40,4,0)),"")</f>
        <v/>
      </c>
      <c r="N12" s="89"/>
      <c r="O12" s="17"/>
      <c r="P12" s="19" t="str">
        <f>IF(N12&gt;0,(N12*VLOOKUP(Lookups!$K$11,Lookups!$M$10:$P$40,4,0)/VLOOKUP(O12,Lookups!$M$10:$P$40,4,0)),"")</f>
        <v/>
      </c>
      <c r="Q12" s="96" t="s">
        <v>1637</v>
      </c>
      <c r="R12" s="38" t="s">
        <v>619</v>
      </c>
      <c r="S12" s="37" t="s">
        <v>1935</v>
      </c>
      <c r="T12" s="37"/>
      <c r="U12" s="37"/>
    </row>
    <row r="13" spans="1:21" s="90" customFormat="1" ht="60" customHeight="1" collapsed="1" x14ac:dyDescent="0.2">
      <c r="A13" s="44" t="s">
        <v>647</v>
      </c>
      <c r="B13" s="44" t="s">
        <v>1375</v>
      </c>
      <c r="C13" s="44" t="s">
        <v>1314</v>
      </c>
      <c r="D13" s="44" t="s">
        <v>1097</v>
      </c>
      <c r="E13" s="37" t="s">
        <v>1640</v>
      </c>
      <c r="F13" s="37" t="s">
        <v>1384</v>
      </c>
      <c r="G13" s="37" t="s">
        <v>680</v>
      </c>
      <c r="H13" s="89">
        <v>2501</v>
      </c>
      <c r="I13" s="17" t="s">
        <v>664</v>
      </c>
      <c r="J13" s="19">
        <f>IF(H13&gt;0,(H13*VLOOKUP(Lookups!$K$11,Lookups!$M$10:$P$40,4,0)/VLOOKUP(I13,Lookups!$M$10:$P$40,4,0)),"")</f>
        <v>2724.2993443189939</v>
      </c>
      <c r="K13" s="89"/>
      <c r="L13" s="17"/>
      <c r="M13" s="19" t="str">
        <f>IF(K13&gt;0,(K13*VLOOKUP(Lookups!$K$11,Lookups!$M$10:$P$40,4,0)/VLOOKUP(L13,Lookups!$M$10:$P$40,4,0)),"")</f>
        <v/>
      </c>
      <c r="N13" s="89"/>
      <c r="O13" s="17"/>
      <c r="P13" s="19" t="str">
        <f>IF(N13&gt;0,(N13*VLOOKUP(Lookups!$K$11,Lookups!$M$10:$P$40,4,0)/VLOOKUP(O13,Lookups!$M$10:$P$40,4,0)),"")</f>
        <v/>
      </c>
      <c r="Q13" s="96" t="s">
        <v>1641</v>
      </c>
      <c r="R13" s="38" t="s">
        <v>619</v>
      </c>
      <c r="S13" s="37" t="s">
        <v>1816</v>
      </c>
      <c r="T13" s="37"/>
      <c r="U13" s="37"/>
    </row>
    <row r="14" spans="1:21" s="90" customFormat="1" ht="60" hidden="1" customHeight="1" outlineLevel="2" collapsed="1" x14ac:dyDescent="0.2">
      <c r="A14" s="37" t="s">
        <v>647</v>
      </c>
      <c r="B14" s="37" t="s">
        <v>1375</v>
      </c>
      <c r="C14" s="37" t="s">
        <v>1315</v>
      </c>
      <c r="D14" s="45" t="s">
        <v>1656</v>
      </c>
      <c r="E14" s="37" t="s">
        <v>620</v>
      </c>
      <c r="F14" s="37" t="s">
        <v>1644</v>
      </c>
      <c r="G14" s="37" t="s">
        <v>666</v>
      </c>
      <c r="H14" s="89">
        <v>79.5</v>
      </c>
      <c r="I14" s="17" t="s">
        <v>664</v>
      </c>
      <c r="J14" s="19">
        <f>IF(H14&gt;0,(H14*VLOOKUP(Lookups!$K$11,Lookups!$M$10:$P$40,4,0)/VLOOKUP(I14,Lookups!$M$10:$P$40,4,0)),"")</f>
        <v>86.598079917377063</v>
      </c>
      <c r="K14" s="89"/>
      <c r="L14" s="17"/>
      <c r="M14" s="19" t="str">
        <f>IF(K14&gt;0,(K14*VLOOKUP(Lookups!$K$11,Lookups!$M$10:$P$40,4,0)/VLOOKUP(L14,Lookups!$M$10:$P$40,4,0)),"")</f>
        <v/>
      </c>
      <c r="N14" s="89"/>
      <c r="O14" s="17"/>
      <c r="P14" s="19" t="str">
        <f>IF(N14&gt;0,(N14*VLOOKUP(Lookups!$K$11,Lookups!$M$10:$P$40,4,0)/VLOOKUP(O14,Lookups!$M$10:$P$40,4,0)),"")</f>
        <v/>
      </c>
      <c r="Q14" s="96" t="s">
        <v>1641</v>
      </c>
      <c r="R14" s="38" t="s">
        <v>619</v>
      </c>
      <c r="S14" s="37" t="s">
        <v>1944</v>
      </c>
      <c r="T14" s="37"/>
      <c r="U14" s="37"/>
    </row>
    <row r="15" spans="1:21" s="90" customFormat="1" ht="60" hidden="1" customHeight="1" outlineLevel="2" collapsed="1" x14ac:dyDescent="0.2">
      <c r="A15" s="37" t="s">
        <v>647</v>
      </c>
      <c r="B15" s="37" t="s">
        <v>1375</v>
      </c>
      <c r="C15" s="37" t="s">
        <v>1316</v>
      </c>
      <c r="D15" s="45" t="s">
        <v>1939</v>
      </c>
      <c r="E15" s="37" t="s">
        <v>1640</v>
      </c>
      <c r="F15" s="37" t="s">
        <v>1384</v>
      </c>
      <c r="G15" s="37"/>
      <c r="H15" s="89">
        <v>375</v>
      </c>
      <c r="I15" s="17" t="s">
        <v>664</v>
      </c>
      <c r="J15" s="19">
        <f>IF(H15&gt;0,(H15*VLOOKUP(Lookups!$K$11,Lookups!$M$10:$P$40,4,0)/VLOOKUP(I15,Lookups!$M$10:$P$40,4,0)),"")</f>
        <v>408.48150904423142</v>
      </c>
      <c r="K15" s="89"/>
      <c r="L15" s="17"/>
      <c r="M15" s="19" t="str">
        <f>IF(K15&gt;0,(K15*VLOOKUP(Lookups!$K$11,Lookups!$M$10:$P$40,4,0)/VLOOKUP(L15,Lookups!$M$10:$P$40,4,0)),"")</f>
        <v/>
      </c>
      <c r="N15" s="89"/>
      <c r="O15" s="17"/>
      <c r="P15" s="19" t="str">
        <f>IF(N15&gt;0,(N15*VLOOKUP(Lookups!$K$11,Lookups!$M$10:$P$40,4,0)/VLOOKUP(O15,Lookups!$M$10:$P$40,4,0)),"")</f>
        <v/>
      </c>
      <c r="Q15" s="96" t="s">
        <v>1641</v>
      </c>
      <c r="R15" s="38" t="s">
        <v>619</v>
      </c>
      <c r="S15" s="37" t="s">
        <v>1646</v>
      </c>
      <c r="T15" s="37"/>
      <c r="U15" s="37"/>
    </row>
    <row r="16" spans="1:21" s="90" customFormat="1" ht="60" hidden="1" customHeight="1" outlineLevel="2" collapsed="1" x14ac:dyDescent="0.2">
      <c r="A16" s="37" t="s">
        <v>647</v>
      </c>
      <c r="B16" s="37" t="s">
        <v>1375</v>
      </c>
      <c r="C16" s="37" t="s">
        <v>1317</v>
      </c>
      <c r="D16" s="45" t="s">
        <v>1642</v>
      </c>
      <c r="E16" s="37" t="s">
        <v>631</v>
      </c>
      <c r="F16" s="37" t="s">
        <v>1384</v>
      </c>
      <c r="G16" s="37"/>
      <c r="H16" s="89">
        <v>334.95</v>
      </c>
      <c r="I16" s="17" t="s">
        <v>664</v>
      </c>
      <c r="J16" s="19">
        <f>IF(H16&gt;0,(H16*VLOOKUP(Lookups!$K$11,Lookups!$M$10:$P$40,4,0)/VLOOKUP(I16,Lookups!$M$10:$P$40,4,0)),"")</f>
        <v>364.85568387830756</v>
      </c>
      <c r="K16" s="89"/>
      <c r="L16" s="17"/>
      <c r="M16" s="19" t="str">
        <f>IF(K16&gt;0,(K16*VLOOKUP(Lookups!$K$11,Lookups!$M$10:$P$40,4,0)/VLOOKUP(L16,Lookups!$M$10:$P$40,4,0)),"")</f>
        <v/>
      </c>
      <c r="N16" s="89"/>
      <c r="O16" s="17"/>
      <c r="P16" s="19" t="str">
        <f>IF(N16&gt;0,(N16*VLOOKUP(Lookups!$K$11,Lookups!$M$10:$P$40,4,0)/VLOOKUP(O16,Lookups!$M$10:$P$40,4,0)),"")</f>
        <v/>
      </c>
      <c r="Q16" s="96" t="s">
        <v>1641</v>
      </c>
      <c r="R16" s="38" t="s">
        <v>619</v>
      </c>
      <c r="S16" s="37" t="s">
        <v>1942</v>
      </c>
      <c r="T16" s="37"/>
      <c r="U16" s="37"/>
    </row>
    <row r="17" spans="1:21" s="90" customFormat="1" ht="60" hidden="1" customHeight="1" outlineLevel="2" collapsed="1" x14ac:dyDescent="0.2">
      <c r="A17" s="37" t="s">
        <v>647</v>
      </c>
      <c r="B17" s="37" t="s">
        <v>1375</v>
      </c>
      <c r="C17" s="37" t="s">
        <v>1318</v>
      </c>
      <c r="D17" s="45" t="s">
        <v>1643</v>
      </c>
      <c r="E17" s="37" t="s">
        <v>637</v>
      </c>
      <c r="F17" s="37" t="s">
        <v>1384</v>
      </c>
      <c r="G17" s="37" t="s">
        <v>680</v>
      </c>
      <c r="H17" s="89">
        <v>477</v>
      </c>
      <c r="I17" s="17" t="s">
        <v>664</v>
      </c>
      <c r="J17" s="19">
        <f>IF(H17&gt;0,(H17*VLOOKUP(Lookups!$K$11,Lookups!$M$10:$P$40,4,0)/VLOOKUP(I17,Lookups!$M$10:$P$40,4,0)),"")</f>
        <v>519.5884795042623</v>
      </c>
      <c r="K17" s="89"/>
      <c r="L17" s="17"/>
      <c r="M17" s="19" t="str">
        <f>IF(K17&gt;0,(K17*VLOOKUP(Lookups!$K$11,Lookups!$M$10:$P$40,4,0)/VLOOKUP(L17,Lookups!$M$10:$P$40,4,0)),"")</f>
        <v/>
      </c>
      <c r="N17" s="89"/>
      <c r="O17" s="17"/>
      <c r="P17" s="19" t="str">
        <f>IF(N17&gt;0,(N17*VLOOKUP(Lookups!$K$11,Lookups!$M$10:$P$40,4,0)/VLOOKUP(O17,Lookups!$M$10:$P$40,4,0)),"")</f>
        <v/>
      </c>
      <c r="Q17" s="96" t="s">
        <v>1641</v>
      </c>
      <c r="R17" s="38" t="s">
        <v>619</v>
      </c>
      <c r="S17" s="37" t="s">
        <v>1815</v>
      </c>
      <c r="T17" s="37"/>
      <c r="U17" s="37"/>
    </row>
    <row r="18" spans="1:21" s="90" customFormat="1" ht="60" hidden="1" customHeight="1" outlineLevel="2" collapsed="1" x14ac:dyDescent="0.2">
      <c r="A18" s="37" t="s">
        <v>647</v>
      </c>
      <c r="B18" s="37" t="s">
        <v>1375</v>
      </c>
      <c r="C18" s="37" t="s">
        <v>1319</v>
      </c>
      <c r="D18" s="45" t="s">
        <v>1678</v>
      </c>
      <c r="E18" s="37" t="s">
        <v>637</v>
      </c>
      <c r="F18" s="37" t="s">
        <v>1384</v>
      </c>
      <c r="G18" s="37"/>
      <c r="H18" s="89">
        <v>230</v>
      </c>
      <c r="I18" s="17" t="s">
        <v>664</v>
      </c>
      <c r="J18" s="19">
        <f>IF(H18&gt;0,(H18*VLOOKUP(Lookups!$K$11,Lookups!$M$10:$P$40,4,0)/VLOOKUP(I18,Lookups!$M$10:$P$40,4,0)),"")</f>
        <v>250.53532554712862</v>
      </c>
      <c r="K18" s="89"/>
      <c r="L18" s="17"/>
      <c r="M18" s="19" t="str">
        <f>IF(K18&gt;0,(K18*VLOOKUP(Lookups!$K$11,Lookups!$M$10:$P$40,4,0)/VLOOKUP(L18,Lookups!$M$10:$P$40,4,0)),"")</f>
        <v/>
      </c>
      <c r="N18" s="89"/>
      <c r="O18" s="17"/>
      <c r="P18" s="19" t="str">
        <f>IF(N18&gt;0,(N18*VLOOKUP(Lookups!$K$11,Lookups!$M$10:$P$40,4,0)/VLOOKUP(O18,Lookups!$M$10:$P$40,4,0)),"")</f>
        <v/>
      </c>
      <c r="Q18" s="96" t="s">
        <v>1641</v>
      </c>
      <c r="R18" s="38" t="s">
        <v>619</v>
      </c>
      <c r="S18" s="37" t="s">
        <v>1817</v>
      </c>
      <c r="T18" s="37"/>
      <c r="U18" s="37"/>
    </row>
    <row r="19" spans="1:21" s="90" customFormat="1" ht="60" customHeight="1" collapsed="1" x14ac:dyDescent="0.2">
      <c r="A19" s="44" t="s">
        <v>647</v>
      </c>
      <c r="B19" s="44" t="s">
        <v>1375</v>
      </c>
      <c r="C19" s="44" t="s">
        <v>1320</v>
      </c>
      <c r="D19" s="44" t="s">
        <v>1647</v>
      </c>
      <c r="E19" s="37" t="s">
        <v>631</v>
      </c>
      <c r="F19" s="37" t="s">
        <v>1384</v>
      </c>
      <c r="G19" s="37"/>
      <c r="H19" s="89">
        <v>107.45</v>
      </c>
      <c r="I19" s="17" t="s">
        <v>664</v>
      </c>
      <c r="J19" s="19">
        <f>IF(H19&gt;0,(H19*VLOOKUP(Lookups!$K$11,Lookups!$M$10:$P$40,4,0)/VLOOKUP(I19,Lookups!$M$10:$P$40,4,0)),"")</f>
        <v>117.04356839147378</v>
      </c>
      <c r="K19" s="89"/>
      <c r="L19" s="17"/>
      <c r="M19" s="19" t="str">
        <f>IF(K19&gt;0,(K19*VLOOKUP(Lookups!$K$11,Lookups!$M$10:$P$40,4,0)/VLOOKUP(L19,Lookups!$M$10:$P$40,4,0)),"")</f>
        <v/>
      </c>
      <c r="N19" s="89"/>
      <c r="O19" s="17"/>
      <c r="P19" s="19" t="str">
        <f>IF(N19&gt;0,(N19*VLOOKUP(Lookups!$K$11,Lookups!$M$10:$P$40,4,0)/VLOOKUP(O19,Lookups!$M$10:$P$40,4,0)),"")</f>
        <v/>
      </c>
      <c r="Q19" s="96" t="s">
        <v>1657</v>
      </c>
      <c r="R19" s="38" t="s">
        <v>619</v>
      </c>
      <c r="S19" s="97" t="s">
        <v>1945</v>
      </c>
      <c r="T19" s="37"/>
      <c r="U19" s="37"/>
    </row>
    <row r="20" spans="1:21" s="90" customFormat="1" ht="60" hidden="1" customHeight="1" outlineLevel="1" collapsed="1" x14ac:dyDescent="0.2">
      <c r="A20" s="46" t="s">
        <v>647</v>
      </c>
      <c r="B20" s="46" t="s">
        <v>1375</v>
      </c>
      <c r="C20" s="46" t="s">
        <v>1321</v>
      </c>
      <c r="D20" s="46" t="s">
        <v>1648</v>
      </c>
      <c r="E20" s="37" t="s">
        <v>631</v>
      </c>
      <c r="F20" s="37" t="s">
        <v>1384</v>
      </c>
      <c r="G20" s="37"/>
      <c r="H20" s="89">
        <v>334.95</v>
      </c>
      <c r="I20" s="17" t="s">
        <v>664</v>
      </c>
      <c r="J20" s="19">
        <f>IF(H20&gt;0,(H20*VLOOKUP(Lookups!$K$11,Lookups!$M$10:$P$40,4,0)/VLOOKUP(I20,Lookups!$M$10:$P$40,4,0)),"")</f>
        <v>364.85568387830756</v>
      </c>
      <c r="K20" s="89"/>
      <c r="L20" s="17"/>
      <c r="M20" s="19" t="str">
        <f>IF(K20&gt;0,(K20*VLOOKUP(Lookups!$K$11,Lookups!$M$10:$P$40,4,0)/VLOOKUP(L20,Lookups!$M$10:$P$40,4,0)),"")</f>
        <v/>
      </c>
      <c r="N20" s="89"/>
      <c r="O20" s="17"/>
      <c r="P20" s="19" t="str">
        <f>IF(N20&gt;0,(N20*VLOOKUP(Lookups!$K$11,Lookups!$M$10:$P$40,4,0)/VLOOKUP(O20,Lookups!$M$10:$P$40,4,0)),"")</f>
        <v/>
      </c>
      <c r="Q20" s="96" t="s">
        <v>1657</v>
      </c>
      <c r="R20" s="38" t="s">
        <v>619</v>
      </c>
      <c r="S20" s="37"/>
      <c r="T20" s="37"/>
      <c r="U20" s="37"/>
    </row>
    <row r="21" spans="1:21" s="90" customFormat="1" ht="60" hidden="1" customHeight="1" outlineLevel="1" collapsed="1" x14ac:dyDescent="0.2">
      <c r="A21" s="46" t="s">
        <v>647</v>
      </c>
      <c r="B21" s="46" t="s">
        <v>1375</v>
      </c>
      <c r="C21" s="46" t="s">
        <v>1322</v>
      </c>
      <c r="D21" s="46" t="s">
        <v>1649</v>
      </c>
      <c r="E21" s="37" t="s">
        <v>631</v>
      </c>
      <c r="F21" s="37" t="s">
        <v>1384</v>
      </c>
      <c r="G21" s="37"/>
      <c r="H21" s="89">
        <v>98</v>
      </c>
      <c r="I21" s="17" t="s">
        <v>664</v>
      </c>
      <c r="J21" s="19">
        <f>IF(H21&gt;0,(H21*VLOOKUP(Lookups!$K$11,Lookups!$M$10:$P$40,4,0)/VLOOKUP(I21,Lookups!$M$10:$P$40,4,0)),"")</f>
        <v>106.74983436355915</v>
      </c>
      <c r="K21" s="89"/>
      <c r="L21" s="17"/>
      <c r="M21" s="19" t="str">
        <f>IF(K21&gt;0,(K21*VLOOKUP(Lookups!$K$11,Lookups!$M$10:$P$40,4,0)/VLOOKUP(L21,Lookups!$M$10:$P$40,4,0)),"")</f>
        <v/>
      </c>
      <c r="N21" s="89"/>
      <c r="O21" s="17"/>
      <c r="P21" s="19" t="str">
        <f>IF(N21&gt;0,(N21*VLOOKUP(Lookups!$K$11,Lookups!$M$10:$P$40,4,0)/VLOOKUP(O21,Lookups!$M$10:$P$40,4,0)),"")</f>
        <v/>
      </c>
      <c r="Q21" s="96" t="s">
        <v>1657</v>
      </c>
      <c r="R21" s="38" t="s">
        <v>619</v>
      </c>
      <c r="S21" s="37" t="s">
        <v>1940</v>
      </c>
      <c r="T21" s="37"/>
      <c r="U21" s="37"/>
    </row>
    <row r="22" spans="1:21" s="90" customFormat="1" ht="60" hidden="1" customHeight="1" outlineLevel="1" collapsed="1" x14ac:dyDescent="0.2">
      <c r="A22" s="46" t="s">
        <v>647</v>
      </c>
      <c r="B22" s="46" t="s">
        <v>1375</v>
      </c>
      <c r="C22" s="46" t="s">
        <v>1323</v>
      </c>
      <c r="D22" s="46" t="s">
        <v>1650</v>
      </c>
      <c r="E22" s="37" t="s">
        <v>631</v>
      </c>
      <c r="F22" s="37" t="s">
        <v>1384</v>
      </c>
      <c r="G22" s="37"/>
      <c r="H22" s="89">
        <v>87</v>
      </c>
      <c r="I22" s="17" t="s">
        <v>664</v>
      </c>
      <c r="J22" s="19">
        <f>IF(H22&gt;0,(H22*VLOOKUP(Lookups!$K$11,Lookups!$M$10:$P$40,4,0)/VLOOKUP(I22,Lookups!$M$10:$P$40,4,0)),"")</f>
        <v>94.767710098261688</v>
      </c>
      <c r="K22" s="89"/>
      <c r="L22" s="17"/>
      <c r="M22" s="19" t="str">
        <f>IF(K22&gt;0,(K22*VLOOKUP(Lookups!$K$11,Lookups!$M$10:$P$40,4,0)/VLOOKUP(L22,Lookups!$M$10:$P$40,4,0)),"")</f>
        <v/>
      </c>
      <c r="N22" s="89"/>
      <c r="O22" s="17"/>
      <c r="P22" s="19" t="str">
        <f>IF(N22&gt;0,(N22*VLOOKUP(Lookups!$K$11,Lookups!$M$10:$P$40,4,0)/VLOOKUP(O22,Lookups!$M$10:$P$40,4,0)),"")</f>
        <v/>
      </c>
      <c r="Q22" s="96" t="s">
        <v>1657</v>
      </c>
      <c r="R22" s="38" t="s">
        <v>619</v>
      </c>
      <c r="S22" s="37" t="s">
        <v>1940</v>
      </c>
      <c r="T22" s="37"/>
      <c r="U22" s="37"/>
    </row>
    <row r="23" spans="1:21" s="90" customFormat="1" ht="60" hidden="1" customHeight="1" outlineLevel="1" collapsed="1" x14ac:dyDescent="0.2">
      <c r="A23" s="46" t="s">
        <v>647</v>
      </c>
      <c r="B23" s="46" t="s">
        <v>1375</v>
      </c>
      <c r="C23" s="46" t="s">
        <v>1324</v>
      </c>
      <c r="D23" s="46" t="s">
        <v>1651</v>
      </c>
      <c r="E23" s="37" t="s">
        <v>631</v>
      </c>
      <c r="F23" s="37" t="s">
        <v>1384</v>
      </c>
      <c r="G23" s="37"/>
      <c r="H23" s="89">
        <v>162.44</v>
      </c>
      <c r="I23" s="17" t="s">
        <v>664</v>
      </c>
      <c r="J23" s="19">
        <f>IF(H23&gt;0,(H23*VLOOKUP(Lookups!$K$11,Lookups!$M$10:$P$40,4,0)/VLOOKUP(I23,Lookups!$M$10:$P$40,4,0)),"")</f>
        <v>176.94329687771986</v>
      </c>
      <c r="K23" s="89"/>
      <c r="L23" s="17"/>
      <c r="M23" s="19" t="str">
        <f>IF(K23&gt;0,(K23*VLOOKUP(Lookups!$K$11,Lookups!$M$10:$P$40,4,0)/VLOOKUP(L23,Lookups!$M$10:$P$40,4,0)),"")</f>
        <v/>
      </c>
      <c r="N23" s="89"/>
      <c r="O23" s="17"/>
      <c r="P23" s="19" t="str">
        <f>IF(N23&gt;0,(N23*VLOOKUP(Lookups!$K$11,Lookups!$M$10:$P$40,4,0)/VLOOKUP(O23,Lookups!$M$10:$P$40,4,0)),"")</f>
        <v/>
      </c>
      <c r="Q23" s="96" t="s">
        <v>1657</v>
      </c>
      <c r="R23" s="38" t="s">
        <v>619</v>
      </c>
      <c r="S23" s="37" t="s">
        <v>1941</v>
      </c>
      <c r="T23" s="37"/>
      <c r="U23" s="37"/>
    </row>
    <row r="24" spans="1:21" s="90" customFormat="1" ht="60" customHeight="1" collapsed="1" x14ac:dyDescent="0.2">
      <c r="A24" s="44" t="s">
        <v>647</v>
      </c>
      <c r="B24" s="44" t="s">
        <v>1375</v>
      </c>
      <c r="C24" s="44" t="s">
        <v>1325</v>
      </c>
      <c r="D24" s="44" t="s">
        <v>1938</v>
      </c>
      <c r="E24" s="37" t="s">
        <v>1654</v>
      </c>
      <c r="F24" s="37" t="s">
        <v>1384</v>
      </c>
      <c r="G24" s="37"/>
      <c r="H24" s="89">
        <v>642</v>
      </c>
      <c r="I24" s="17" t="s">
        <v>664</v>
      </c>
      <c r="J24" s="19">
        <f>IF(H24&gt;0,(H24*VLOOKUP(Lookups!$K$11,Lookups!$M$10:$P$40,4,0)/VLOOKUP(I24,Lookups!$M$10:$P$40,4,0)),"")</f>
        <v>699.32034348372417</v>
      </c>
      <c r="K24" s="89"/>
      <c r="L24" s="17"/>
      <c r="M24" s="19" t="str">
        <f>IF(K24&gt;0,(K24*VLOOKUP(Lookups!$K$11,Lookups!$M$10:$P$40,4,0)/VLOOKUP(L24,Lookups!$M$10:$P$40,4,0)),"")</f>
        <v/>
      </c>
      <c r="N24" s="89"/>
      <c r="O24" s="17"/>
      <c r="P24" s="19" t="str">
        <f>IF(N24&gt;0,(N24*VLOOKUP(Lookups!$K$11,Lookups!$M$10:$P$40,4,0)/VLOOKUP(O24,Lookups!$M$10:$P$40,4,0)),"")</f>
        <v/>
      </c>
      <c r="Q24" s="96" t="s">
        <v>1657</v>
      </c>
      <c r="R24" s="38" t="s">
        <v>619</v>
      </c>
      <c r="S24" s="97" t="s">
        <v>1946</v>
      </c>
      <c r="T24" s="37"/>
      <c r="U24" s="37"/>
    </row>
    <row r="25" spans="1:21" s="90" customFormat="1" ht="60" hidden="1" customHeight="1" outlineLevel="1" collapsed="1" x14ac:dyDescent="0.2">
      <c r="A25" s="46" t="s">
        <v>647</v>
      </c>
      <c r="B25" s="46" t="s">
        <v>1375</v>
      </c>
      <c r="C25" s="46" t="s">
        <v>1326</v>
      </c>
      <c r="D25" s="46" t="s">
        <v>1655</v>
      </c>
      <c r="E25" s="37" t="s">
        <v>620</v>
      </c>
      <c r="F25" s="37" t="s">
        <v>1644</v>
      </c>
      <c r="G25" s="37" t="s">
        <v>666</v>
      </c>
      <c r="H25" s="89">
        <v>174</v>
      </c>
      <c r="I25" s="17" t="s">
        <v>664</v>
      </c>
      <c r="J25" s="19">
        <f>IF(H25&gt;0,(H25*VLOOKUP(Lookups!$K$11,Lookups!$M$10:$P$40,4,0)/VLOOKUP(I25,Lookups!$M$10:$P$40,4,0)),"")</f>
        <v>189.53542019652338</v>
      </c>
      <c r="K25" s="89"/>
      <c r="L25" s="17"/>
      <c r="M25" s="19" t="str">
        <f>IF(K25&gt;0,(K25*VLOOKUP(Lookups!$K$11,Lookups!$M$10:$P$40,4,0)/VLOOKUP(L25,Lookups!$M$10:$P$40,4,0)),"")</f>
        <v/>
      </c>
      <c r="N25" s="89"/>
      <c r="O25" s="17"/>
      <c r="P25" s="19" t="str">
        <f>IF(N25&gt;0,(N25*VLOOKUP(Lookups!$K$11,Lookups!$M$10:$P$40,4,0)/VLOOKUP(O25,Lookups!$M$10:$P$40,4,0)),"")</f>
        <v/>
      </c>
      <c r="Q25" s="96" t="s">
        <v>1657</v>
      </c>
      <c r="R25" s="38" t="s">
        <v>619</v>
      </c>
      <c r="S25" s="37"/>
      <c r="T25" s="37"/>
      <c r="U25" s="37"/>
    </row>
    <row r="26" spans="1:21" s="90" customFormat="1" ht="60" hidden="1" customHeight="1" outlineLevel="1" collapsed="1" x14ac:dyDescent="0.2">
      <c r="A26" s="46" t="s">
        <v>647</v>
      </c>
      <c r="B26" s="46" t="s">
        <v>1375</v>
      </c>
      <c r="C26" s="46" t="s">
        <v>1327</v>
      </c>
      <c r="D26" s="46" t="s">
        <v>1656</v>
      </c>
      <c r="E26" s="37" t="s">
        <v>620</v>
      </c>
      <c r="F26" s="37" t="s">
        <v>1644</v>
      </c>
      <c r="G26" s="37" t="s">
        <v>666</v>
      </c>
      <c r="H26" s="89">
        <v>79.5</v>
      </c>
      <c r="I26" s="17" t="s">
        <v>664</v>
      </c>
      <c r="J26" s="19">
        <f>IF(H26&gt;0,(H26*VLOOKUP(Lookups!$K$11,Lookups!$M$10:$P$40,4,0)/VLOOKUP(I26,Lookups!$M$10:$P$40,4,0)),"")</f>
        <v>86.598079917377063</v>
      </c>
      <c r="K26" s="89"/>
      <c r="L26" s="17"/>
      <c r="M26" s="19" t="str">
        <f>IF(K26&gt;0,(K26*VLOOKUP(Lookups!$K$11,Lookups!$M$10:$P$40,4,0)/VLOOKUP(L26,Lookups!$M$10:$P$40,4,0)),"")</f>
        <v/>
      </c>
      <c r="N26" s="89"/>
      <c r="O26" s="17"/>
      <c r="P26" s="19" t="str">
        <f>IF(N26&gt;0,(N26*VLOOKUP(Lookups!$K$11,Lookups!$M$10:$P$40,4,0)/VLOOKUP(O26,Lookups!$M$10:$P$40,4,0)),"")</f>
        <v/>
      </c>
      <c r="Q26" s="96" t="s">
        <v>1657</v>
      </c>
      <c r="R26" s="38" t="s">
        <v>619</v>
      </c>
      <c r="S26" s="97" t="s">
        <v>1944</v>
      </c>
      <c r="T26" s="37"/>
      <c r="U26" s="37"/>
    </row>
    <row r="27" spans="1:21" s="90" customFormat="1" ht="60" hidden="1" customHeight="1" outlineLevel="1" collapsed="1" x14ac:dyDescent="0.2">
      <c r="A27" s="46" t="s">
        <v>647</v>
      </c>
      <c r="B27" s="46" t="s">
        <v>1375</v>
      </c>
      <c r="C27" s="46" t="s">
        <v>1328</v>
      </c>
      <c r="D27" s="46" t="s">
        <v>1658</v>
      </c>
      <c r="E27" s="37" t="s">
        <v>1654</v>
      </c>
      <c r="F27" s="37" t="s">
        <v>1384</v>
      </c>
      <c r="G27" s="37"/>
      <c r="H27" s="89">
        <v>294</v>
      </c>
      <c r="I27" s="17" t="s">
        <v>664</v>
      </c>
      <c r="J27" s="19">
        <f>IF(H27&gt;0,(H27*VLOOKUP(Lookups!$K$11,Lookups!$M$10:$P$40,4,0)/VLOOKUP(I27,Lookups!$M$10:$P$40,4,0)),"")</f>
        <v>320.24950309067742</v>
      </c>
      <c r="K27" s="89"/>
      <c r="L27" s="17"/>
      <c r="M27" s="19" t="str">
        <f>IF(K27&gt;0,(K27*VLOOKUP(Lookups!$K$11,Lookups!$M$10:$P$40,4,0)/VLOOKUP(L27,Lookups!$M$10:$P$40,4,0)),"")</f>
        <v/>
      </c>
      <c r="N27" s="89"/>
      <c r="O27" s="17"/>
      <c r="P27" s="19" t="str">
        <f>IF(N27&gt;0,(N27*VLOOKUP(Lookups!$K$11,Lookups!$M$10:$P$40,4,0)/VLOOKUP(O27,Lookups!$M$10:$P$40,4,0)),"")</f>
        <v/>
      </c>
      <c r="Q27" s="96" t="s">
        <v>1657</v>
      </c>
      <c r="R27" s="38" t="s">
        <v>619</v>
      </c>
      <c r="S27" s="37" t="s">
        <v>1937</v>
      </c>
      <c r="T27" s="37"/>
      <c r="U27" s="37"/>
    </row>
    <row r="28" spans="1:21" s="90" customFormat="1" ht="60" customHeight="1" collapsed="1" x14ac:dyDescent="0.2">
      <c r="A28" s="44" t="s">
        <v>647</v>
      </c>
      <c r="B28" s="44" t="s">
        <v>1375</v>
      </c>
      <c r="C28" s="44" t="s">
        <v>1329</v>
      </c>
      <c r="D28" s="44" t="s">
        <v>1949</v>
      </c>
      <c r="E28" s="37" t="s">
        <v>634</v>
      </c>
      <c r="F28" s="37" t="s">
        <v>1384</v>
      </c>
      <c r="G28" s="37"/>
      <c r="H28" s="89">
        <v>7900</v>
      </c>
      <c r="I28" s="17" t="s">
        <v>664</v>
      </c>
      <c r="J28" s="19">
        <f>IF(H28&gt;0,(H28*VLOOKUP(Lookups!$K$11,Lookups!$M$10:$P$40,4,0)/VLOOKUP(I28,Lookups!$M$10:$P$40,4,0)),"")</f>
        <v>8605.3437905318078</v>
      </c>
      <c r="K28" s="89"/>
      <c r="L28" s="17"/>
      <c r="M28" s="19" t="str">
        <f>IF(K28&gt;0,(K28*VLOOKUP(Lookups!$K$11,Lookups!$M$10:$P$40,4,0)/VLOOKUP(L28,Lookups!$M$10:$P$40,4,0)),"")</f>
        <v/>
      </c>
      <c r="N28" s="89"/>
      <c r="O28" s="17"/>
      <c r="P28" s="19" t="str">
        <f>IF(N28&gt;0,(N28*VLOOKUP(Lookups!$K$11,Lookups!$M$10:$P$40,4,0)/VLOOKUP(O28,Lookups!$M$10:$P$40,4,0)),"")</f>
        <v/>
      </c>
      <c r="Q28" s="96" t="s">
        <v>1948</v>
      </c>
      <c r="R28" s="38" t="s">
        <v>619</v>
      </c>
      <c r="S28" s="97" t="s">
        <v>1303</v>
      </c>
      <c r="T28" s="37"/>
      <c r="U28" s="37"/>
    </row>
    <row r="29" spans="1:21" s="90" customFormat="1" ht="60" hidden="1" customHeight="1" outlineLevel="1" collapsed="1" x14ac:dyDescent="0.2">
      <c r="A29" s="46" t="s">
        <v>647</v>
      </c>
      <c r="B29" s="46" t="s">
        <v>1375</v>
      </c>
      <c r="C29" s="46" t="s">
        <v>1330</v>
      </c>
      <c r="D29" s="46" t="s">
        <v>1950</v>
      </c>
      <c r="E29" s="37" t="s">
        <v>1951</v>
      </c>
      <c r="F29" s="37" t="s">
        <v>1384</v>
      </c>
      <c r="G29" s="37" t="s">
        <v>682</v>
      </c>
      <c r="H29" s="89">
        <v>45</v>
      </c>
      <c r="I29" s="17" t="s">
        <v>656</v>
      </c>
      <c r="J29" s="19">
        <f>IF(H29&gt;0,(H29*VLOOKUP(Lookups!$K$11,Lookups!$M$10:$P$40,4,0)/VLOOKUP(I29,Lookups!$M$10:$P$40,4,0)),"")</f>
        <v>60.590809648400352</v>
      </c>
      <c r="K29" s="89"/>
      <c r="L29" s="17"/>
      <c r="M29" s="19" t="str">
        <f>IF(K29&gt;0,(K29*VLOOKUP(Lookups!$K$11,Lookups!$M$10:$P$40,4,0)/VLOOKUP(L29,Lookups!$M$10:$P$40,4,0)),"")</f>
        <v/>
      </c>
      <c r="N29" s="89"/>
      <c r="O29" s="17"/>
      <c r="P29" s="19" t="str">
        <f>IF(N29&gt;0,(N29*VLOOKUP(Lookups!$K$11,Lookups!$M$10:$P$40,4,0)/VLOOKUP(O29,Lookups!$M$10:$P$40,4,0)),"")</f>
        <v/>
      </c>
      <c r="Q29" s="96" t="s">
        <v>1953</v>
      </c>
      <c r="R29" s="38" t="s">
        <v>616</v>
      </c>
      <c r="S29" s="97" t="s">
        <v>1952</v>
      </c>
      <c r="T29" s="37"/>
      <c r="U29" s="37"/>
    </row>
    <row r="30" spans="1:21" s="90" customFormat="1" ht="60" customHeight="1" collapsed="1" x14ac:dyDescent="0.2">
      <c r="A30" s="44" t="s">
        <v>647</v>
      </c>
      <c r="B30" s="44" t="s">
        <v>624</v>
      </c>
      <c r="C30" s="44" t="s">
        <v>1331</v>
      </c>
      <c r="D30" s="44" t="s">
        <v>1660</v>
      </c>
      <c r="E30" s="37" t="s">
        <v>631</v>
      </c>
      <c r="F30" s="37" t="s">
        <v>683</v>
      </c>
      <c r="G30" s="37" t="s">
        <v>1384</v>
      </c>
      <c r="H30" s="89">
        <v>92.98</v>
      </c>
      <c r="I30" s="17" t="s">
        <v>728</v>
      </c>
      <c r="J30" s="19">
        <f>IF(H30&gt;0,(H30*VLOOKUP(Lookups!$K$11,Lookups!$M$10:$P$40,4,0)/VLOOKUP(I30,Lookups!$M$10:$P$40,4,0)),"")</f>
        <v>94.281720000000007</v>
      </c>
      <c r="K30" s="89"/>
      <c r="L30" s="17"/>
      <c r="M30" s="19" t="str">
        <f>IF(K30&gt;0,(K30*VLOOKUP(Lookups!$K$11,Lookups!$M$10:$P$40,4,0)/VLOOKUP(L30,Lookups!$M$10:$P$40,4,0)),"")</f>
        <v/>
      </c>
      <c r="N30" s="89"/>
      <c r="O30" s="17"/>
      <c r="P30" s="19" t="str">
        <f>IF(N30&gt;0,(N30*VLOOKUP(Lookups!$K$11,Lookups!$M$10:$P$40,4,0)/VLOOKUP(O30,Lookups!$M$10:$P$40,4,0)),"")</f>
        <v/>
      </c>
      <c r="Q30" s="78" t="s">
        <v>61</v>
      </c>
      <c r="R30" s="38" t="s">
        <v>621</v>
      </c>
      <c r="S30" s="97" t="s">
        <v>63</v>
      </c>
      <c r="T30" s="37" t="s">
        <v>1912</v>
      </c>
      <c r="U30" s="37" t="s">
        <v>62</v>
      </c>
    </row>
    <row r="31" spans="1:21" s="90" customFormat="1" ht="60" hidden="1" customHeight="1" outlineLevel="1" collapsed="1" x14ac:dyDescent="0.2">
      <c r="A31" s="46" t="s">
        <v>647</v>
      </c>
      <c r="B31" s="46" t="s">
        <v>624</v>
      </c>
      <c r="C31" s="46" t="s">
        <v>1332</v>
      </c>
      <c r="D31" s="46" t="s">
        <v>1661</v>
      </c>
      <c r="E31" s="37" t="s">
        <v>631</v>
      </c>
      <c r="F31" s="37" t="s">
        <v>683</v>
      </c>
      <c r="G31" s="37" t="s">
        <v>1384</v>
      </c>
      <c r="H31" s="89">
        <v>86.02</v>
      </c>
      <c r="I31" s="17" t="s">
        <v>728</v>
      </c>
      <c r="J31" s="19">
        <f>IF(H31&gt;0,(H31*VLOOKUP(Lookups!$K$11,Lookups!$M$10:$P$40,4,0)/VLOOKUP(I31,Lookups!$M$10:$P$40,4,0)),"")</f>
        <v>87.224279999999993</v>
      </c>
      <c r="K31" s="89"/>
      <c r="L31" s="17"/>
      <c r="M31" s="19" t="str">
        <f>IF(K31&gt;0,(K31*VLOOKUP(Lookups!$K$11,Lookups!$M$10:$P$40,4,0)/VLOOKUP(L31,Lookups!$M$10:$P$40,4,0)),"")</f>
        <v/>
      </c>
      <c r="N31" s="89"/>
      <c r="O31" s="17"/>
      <c r="P31" s="19" t="str">
        <f>IF(N31&gt;0,(N31*VLOOKUP(Lookups!$K$11,Lookups!$M$10:$P$40,4,0)/VLOOKUP(O31,Lookups!$M$10:$P$40,4,0)),"")</f>
        <v/>
      </c>
      <c r="Q31" s="78" t="s">
        <v>61</v>
      </c>
      <c r="R31" s="38" t="s">
        <v>621</v>
      </c>
      <c r="S31" s="97" t="s">
        <v>64</v>
      </c>
      <c r="T31" s="37" t="s">
        <v>1912</v>
      </c>
      <c r="U31" s="37" t="s">
        <v>62</v>
      </c>
    </row>
    <row r="32" spans="1:21" s="90" customFormat="1" ht="60" hidden="1" customHeight="1" outlineLevel="1" collapsed="1" x14ac:dyDescent="0.2">
      <c r="A32" s="46" t="s">
        <v>647</v>
      </c>
      <c r="B32" s="46" t="s">
        <v>624</v>
      </c>
      <c r="C32" s="46" t="s">
        <v>1333</v>
      </c>
      <c r="D32" s="46" t="s">
        <v>1532</v>
      </c>
      <c r="E32" s="37" t="s">
        <v>631</v>
      </c>
      <c r="F32" s="37" t="s">
        <v>683</v>
      </c>
      <c r="G32" s="37" t="s">
        <v>1384</v>
      </c>
      <c r="H32" s="89">
        <v>79.89</v>
      </c>
      <c r="I32" s="17" t="s">
        <v>728</v>
      </c>
      <c r="J32" s="19">
        <f>IF(H32&gt;0,(H32*VLOOKUP(Lookups!$K$11,Lookups!$M$10:$P$40,4,0)/VLOOKUP(I32,Lookups!$M$10:$P$40,4,0)),"")</f>
        <v>81.008459999999999</v>
      </c>
      <c r="K32" s="89"/>
      <c r="L32" s="17"/>
      <c r="M32" s="19" t="str">
        <f>IF(K32&gt;0,(K32*VLOOKUP(Lookups!$K$11,Lookups!$M$10:$P$40,4,0)/VLOOKUP(L32,Lookups!$M$10:$P$40,4,0)),"")</f>
        <v/>
      </c>
      <c r="N32" s="89"/>
      <c r="O32" s="17"/>
      <c r="P32" s="19" t="str">
        <f>IF(N32&gt;0,(N32*VLOOKUP(Lookups!$K$11,Lookups!$M$10:$P$40,4,0)/VLOOKUP(O32,Lookups!$M$10:$P$40,4,0)),"")</f>
        <v/>
      </c>
      <c r="Q32" s="78" t="s">
        <v>61</v>
      </c>
      <c r="R32" s="38" t="s">
        <v>621</v>
      </c>
      <c r="S32" s="97" t="s">
        <v>65</v>
      </c>
      <c r="T32" s="37" t="s">
        <v>1912</v>
      </c>
      <c r="U32" s="37" t="s">
        <v>62</v>
      </c>
    </row>
    <row r="33" spans="1:21" s="90" customFormat="1" ht="60" hidden="1" customHeight="1" outlineLevel="1" collapsed="1" x14ac:dyDescent="0.2">
      <c r="A33" s="46" t="s">
        <v>647</v>
      </c>
      <c r="B33" s="46" t="s">
        <v>624</v>
      </c>
      <c r="C33" s="46" t="s">
        <v>1334</v>
      </c>
      <c r="D33" s="46" t="s">
        <v>1533</v>
      </c>
      <c r="E33" s="37" t="s">
        <v>631</v>
      </c>
      <c r="F33" s="37" t="s">
        <v>683</v>
      </c>
      <c r="G33" s="37" t="s">
        <v>1384</v>
      </c>
      <c r="H33" s="89">
        <v>90.49</v>
      </c>
      <c r="I33" s="17" t="s">
        <v>728</v>
      </c>
      <c r="J33" s="19">
        <f>IF(H33&gt;0,(H33*VLOOKUP(Lookups!$K$11,Lookups!$M$10:$P$40,4,0)/VLOOKUP(I33,Lookups!$M$10:$P$40,4,0)),"")</f>
        <v>91.756860000000003</v>
      </c>
      <c r="K33" s="89"/>
      <c r="L33" s="17"/>
      <c r="M33" s="19" t="str">
        <f>IF(K33&gt;0,(K33*VLOOKUP(Lookups!$K$11,Lookups!$M$10:$P$40,4,0)/VLOOKUP(L33,Lookups!$M$10:$P$40,4,0)),"")</f>
        <v/>
      </c>
      <c r="N33" s="89"/>
      <c r="O33" s="17"/>
      <c r="P33" s="19" t="str">
        <f>IF(N33&gt;0,(N33*VLOOKUP(Lookups!$K$11,Lookups!$M$10:$P$40,4,0)/VLOOKUP(O33,Lookups!$M$10:$P$40,4,0)),"")</f>
        <v/>
      </c>
      <c r="Q33" s="78" t="s">
        <v>61</v>
      </c>
      <c r="R33" s="38" t="s">
        <v>621</v>
      </c>
      <c r="S33" s="97" t="s">
        <v>66</v>
      </c>
      <c r="T33" s="37" t="s">
        <v>1912</v>
      </c>
      <c r="U33" s="37" t="s">
        <v>62</v>
      </c>
    </row>
    <row r="34" spans="1:21" s="90" customFormat="1" ht="60" hidden="1" customHeight="1" outlineLevel="1" collapsed="1" x14ac:dyDescent="0.2">
      <c r="A34" s="46" t="s">
        <v>647</v>
      </c>
      <c r="B34" s="46" t="s">
        <v>624</v>
      </c>
      <c r="C34" s="46" t="s">
        <v>1335</v>
      </c>
      <c r="D34" s="46" t="s">
        <v>1930</v>
      </c>
      <c r="E34" s="37" t="s">
        <v>631</v>
      </c>
      <c r="F34" s="37" t="s">
        <v>683</v>
      </c>
      <c r="G34" s="37" t="s">
        <v>1384</v>
      </c>
      <c r="H34" s="89">
        <v>107.19</v>
      </c>
      <c r="I34" s="17" t="s">
        <v>728</v>
      </c>
      <c r="J34" s="19">
        <f>IF(H34&gt;0,(H34*VLOOKUP(Lookups!$K$11,Lookups!$M$10:$P$40,4,0)/VLOOKUP(I34,Lookups!$M$10:$P$40,4,0)),"")</f>
        <v>108.69066000000001</v>
      </c>
      <c r="K34" s="89"/>
      <c r="L34" s="17"/>
      <c r="M34" s="19" t="str">
        <f>IF(K34&gt;0,(K34*VLOOKUP(Lookups!$K$11,Lookups!$M$10:$P$40,4,0)/VLOOKUP(L34,Lookups!$M$10:$P$40,4,0)),"")</f>
        <v/>
      </c>
      <c r="N34" s="89"/>
      <c r="O34" s="17"/>
      <c r="P34" s="19" t="str">
        <f>IF(N34&gt;0,(N34*VLOOKUP(Lookups!$K$11,Lookups!$M$10:$P$40,4,0)/VLOOKUP(O34,Lookups!$M$10:$P$40,4,0)),"")</f>
        <v/>
      </c>
      <c r="Q34" s="78" t="s">
        <v>61</v>
      </c>
      <c r="R34" s="38" t="s">
        <v>621</v>
      </c>
      <c r="S34" s="97" t="s">
        <v>67</v>
      </c>
      <c r="T34" s="37" t="s">
        <v>1912</v>
      </c>
      <c r="U34" s="37" t="s">
        <v>62</v>
      </c>
    </row>
    <row r="35" spans="1:21" s="90" customFormat="1" ht="60" hidden="1" customHeight="1" outlineLevel="1" collapsed="1" x14ac:dyDescent="0.2">
      <c r="A35" s="46" t="s">
        <v>647</v>
      </c>
      <c r="B35" s="46" t="s">
        <v>624</v>
      </c>
      <c r="C35" s="46" t="s">
        <v>1336</v>
      </c>
      <c r="D35" s="46" t="s">
        <v>1931</v>
      </c>
      <c r="E35" s="37" t="s">
        <v>631</v>
      </c>
      <c r="F35" s="37" t="s">
        <v>683</v>
      </c>
      <c r="G35" s="37" t="s">
        <v>1384</v>
      </c>
      <c r="H35" s="89">
        <v>91.85</v>
      </c>
      <c r="I35" s="17" t="s">
        <v>728</v>
      </c>
      <c r="J35" s="19">
        <f>IF(H35&gt;0,(H35*VLOOKUP(Lookups!$K$11,Lookups!$M$10:$P$40,4,0)/VLOOKUP(I35,Lookups!$M$10:$P$40,4,0)),"")</f>
        <v>93.135899999999992</v>
      </c>
      <c r="K35" s="89"/>
      <c r="L35" s="17"/>
      <c r="M35" s="19" t="str">
        <f>IF(K35&gt;0,(K35*VLOOKUP(Lookups!$K$11,Lookups!$M$10:$P$40,4,0)/VLOOKUP(L35,Lookups!$M$10:$P$40,4,0)),"")</f>
        <v/>
      </c>
      <c r="N35" s="89"/>
      <c r="O35" s="17"/>
      <c r="P35" s="19" t="str">
        <f>IF(N35&gt;0,(N35*VLOOKUP(Lookups!$K$11,Lookups!$M$10:$P$40,4,0)/VLOOKUP(O35,Lookups!$M$10:$P$40,4,0)),"")</f>
        <v/>
      </c>
      <c r="Q35" s="78" t="s">
        <v>61</v>
      </c>
      <c r="R35" s="38" t="s">
        <v>621</v>
      </c>
      <c r="S35" s="97" t="s">
        <v>263</v>
      </c>
      <c r="T35" s="37" t="s">
        <v>1912</v>
      </c>
      <c r="U35" s="37" t="s">
        <v>62</v>
      </c>
    </row>
    <row r="36" spans="1:21" s="90" customFormat="1" ht="60" hidden="1" customHeight="1" outlineLevel="1" collapsed="1" x14ac:dyDescent="0.2">
      <c r="A36" s="46" t="s">
        <v>647</v>
      </c>
      <c r="B36" s="46" t="s">
        <v>624</v>
      </c>
      <c r="C36" s="46" t="s">
        <v>1337</v>
      </c>
      <c r="D36" s="46" t="s">
        <v>1932</v>
      </c>
      <c r="E36" s="37" t="s">
        <v>631</v>
      </c>
      <c r="F36" s="37" t="s">
        <v>683</v>
      </c>
      <c r="G36" s="37" t="s">
        <v>1384</v>
      </c>
      <c r="H36" s="89">
        <v>107.59</v>
      </c>
      <c r="I36" s="17" t="s">
        <v>728</v>
      </c>
      <c r="J36" s="19">
        <f>IF(H36&gt;0,(H36*VLOOKUP(Lookups!$K$11,Lookups!$M$10:$P$40,4,0)/VLOOKUP(I36,Lookups!$M$10:$P$40,4,0)),"")</f>
        <v>109.09626</v>
      </c>
      <c r="K36" s="89"/>
      <c r="L36" s="17"/>
      <c r="M36" s="19" t="str">
        <f>IF(K36&gt;0,(K36*VLOOKUP(Lookups!$K$11,Lookups!$M$10:$P$40,4,0)/VLOOKUP(L36,Lookups!$M$10:$P$40,4,0)),"")</f>
        <v/>
      </c>
      <c r="N36" s="89"/>
      <c r="O36" s="17"/>
      <c r="P36" s="19" t="str">
        <f>IF(N36&gt;0,(N36*VLOOKUP(Lookups!$K$11,Lookups!$M$10:$P$40,4,0)/VLOOKUP(O36,Lookups!$M$10:$P$40,4,0)),"")</f>
        <v/>
      </c>
      <c r="Q36" s="78" t="s">
        <v>61</v>
      </c>
      <c r="R36" s="38" t="s">
        <v>621</v>
      </c>
      <c r="S36" s="97" t="s">
        <v>264</v>
      </c>
      <c r="T36" s="37" t="s">
        <v>1912</v>
      </c>
      <c r="U36" s="37" t="s">
        <v>62</v>
      </c>
    </row>
    <row r="37" spans="1:21" s="90" customFormat="1" ht="60" hidden="1" customHeight="1" outlineLevel="1" collapsed="1" x14ac:dyDescent="0.2">
      <c r="A37" s="46" t="s">
        <v>647</v>
      </c>
      <c r="B37" s="46" t="s">
        <v>624</v>
      </c>
      <c r="C37" s="46" t="s">
        <v>1338</v>
      </c>
      <c r="D37" s="46" t="s">
        <v>1933</v>
      </c>
      <c r="E37" s="37" t="s">
        <v>631</v>
      </c>
      <c r="F37" s="37" t="s">
        <v>683</v>
      </c>
      <c r="G37" s="37" t="s">
        <v>1384</v>
      </c>
      <c r="H37" s="89">
        <v>106.78</v>
      </c>
      <c r="I37" s="17" t="s">
        <v>728</v>
      </c>
      <c r="J37" s="19">
        <f>IF(H37&gt;0,(H37*VLOOKUP(Lookups!$K$11,Lookups!$M$10:$P$40,4,0)/VLOOKUP(I37,Lookups!$M$10:$P$40,4,0)),"")</f>
        <v>108.27491999999999</v>
      </c>
      <c r="K37" s="89"/>
      <c r="L37" s="17"/>
      <c r="M37" s="19" t="str">
        <f>IF(K37&gt;0,(K37*VLOOKUP(Lookups!$K$11,Lookups!$M$10:$P$40,4,0)/VLOOKUP(L37,Lookups!$M$10:$P$40,4,0)),"")</f>
        <v/>
      </c>
      <c r="N37" s="89"/>
      <c r="O37" s="17"/>
      <c r="P37" s="19" t="str">
        <f>IF(N37&gt;0,(N37*VLOOKUP(Lookups!$K$11,Lookups!$M$10:$P$40,4,0)/VLOOKUP(O37,Lookups!$M$10:$P$40,4,0)),"")</f>
        <v/>
      </c>
      <c r="Q37" s="78" t="s">
        <v>61</v>
      </c>
      <c r="R37" s="38" t="s">
        <v>621</v>
      </c>
      <c r="S37" s="97" t="s">
        <v>265</v>
      </c>
      <c r="T37" s="37" t="s">
        <v>1912</v>
      </c>
      <c r="U37" s="37" t="s">
        <v>62</v>
      </c>
    </row>
    <row r="38" spans="1:21" s="90" customFormat="1" ht="60" customHeight="1" collapsed="1" x14ac:dyDescent="0.2">
      <c r="A38" s="44" t="s">
        <v>647</v>
      </c>
      <c r="B38" s="44" t="s">
        <v>624</v>
      </c>
      <c r="C38" s="44" t="s">
        <v>1339</v>
      </c>
      <c r="D38" s="44" t="s">
        <v>1934</v>
      </c>
      <c r="E38" s="37" t="s">
        <v>1640</v>
      </c>
      <c r="F38" s="37" t="s">
        <v>1384</v>
      </c>
      <c r="G38" s="37" t="s">
        <v>683</v>
      </c>
      <c r="H38" s="89">
        <v>48</v>
      </c>
      <c r="I38" s="17" t="s">
        <v>664</v>
      </c>
      <c r="J38" s="19">
        <f>IF(H38&gt;0,(H38*VLOOKUP(Lookups!$K$11,Lookups!$M$10:$P$40,4,0)/VLOOKUP(I38,Lookups!$M$10:$P$40,4,0)),"")</f>
        <v>52.285633157661621</v>
      </c>
      <c r="K38" s="89"/>
      <c r="L38" s="17"/>
      <c r="M38" s="19" t="str">
        <f>IF(K38&gt;0,(K38*VLOOKUP(Lookups!$K$11,Lookups!$M$10:$P$40,4,0)/VLOOKUP(L38,Lookups!$M$10:$P$40,4,0)),"")</f>
        <v/>
      </c>
      <c r="N38" s="89"/>
      <c r="O38" s="17"/>
      <c r="P38" s="19" t="str">
        <f>IF(N38&gt;0,(N38*VLOOKUP(Lookups!$K$11,Lookups!$M$10:$P$40,4,0)/VLOOKUP(O38,Lookups!$M$10:$P$40,4,0)),"")</f>
        <v/>
      </c>
      <c r="Q38" s="96" t="s">
        <v>1657</v>
      </c>
      <c r="R38" s="38" t="s">
        <v>619</v>
      </c>
      <c r="S38" s="97" t="s">
        <v>1947</v>
      </c>
      <c r="T38" s="37"/>
      <c r="U38" s="37"/>
    </row>
    <row r="39" spans="1:21" x14ac:dyDescent="0.2">
      <c r="D39" s="80"/>
    </row>
    <row r="40" spans="1:21" x14ac:dyDescent="0.2">
      <c r="D40" s="80"/>
    </row>
    <row r="41" spans="1:21" ht="12.75" customHeight="1" x14ac:dyDescent="0.2">
      <c r="A41" s="179" t="s">
        <v>1231</v>
      </c>
      <c r="D41" s="80"/>
      <c r="I41" s="60" t="s">
        <v>729</v>
      </c>
      <c r="L41" s="60" t="s">
        <v>729</v>
      </c>
      <c r="O41" s="60" t="s">
        <v>729</v>
      </c>
      <c r="R41" s="38" t="s">
        <v>616</v>
      </c>
      <c r="T41" s="5" t="s">
        <v>1911</v>
      </c>
    </row>
    <row r="42" spans="1:21" x14ac:dyDescent="0.2">
      <c r="A42" s="180"/>
      <c r="D42" s="80"/>
      <c r="I42" s="60" t="s">
        <v>728</v>
      </c>
      <c r="L42" s="60" t="s">
        <v>728</v>
      </c>
      <c r="O42" s="60" t="s">
        <v>728</v>
      </c>
      <c r="R42" s="38" t="s">
        <v>619</v>
      </c>
      <c r="T42" s="5" t="s">
        <v>1912</v>
      </c>
    </row>
    <row r="43" spans="1:21" x14ac:dyDescent="0.2">
      <c r="A43" s="180"/>
      <c r="D43" s="80"/>
      <c r="I43" s="17" t="s">
        <v>727</v>
      </c>
      <c r="L43" s="17" t="s">
        <v>727</v>
      </c>
      <c r="O43" s="17" t="s">
        <v>727</v>
      </c>
      <c r="R43" s="38" t="s">
        <v>621</v>
      </c>
    </row>
    <row r="44" spans="1:21" x14ac:dyDescent="0.2">
      <c r="A44" s="180"/>
      <c r="D44" s="80"/>
      <c r="I44" s="17" t="s">
        <v>726</v>
      </c>
      <c r="L44" s="17" t="s">
        <v>726</v>
      </c>
      <c r="O44" s="17" t="s">
        <v>726</v>
      </c>
    </row>
    <row r="45" spans="1:21" x14ac:dyDescent="0.2">
      <c r="A45" s="180"/>
      <c r="D45" s="80"/>
      <c r="I45" s="17" t="s">
        <v>665</v>
      </c>
      <c r="L45" s="17" t="s">
        <v>665</v>
      </c>
      <c r="O45" s="17" t="s">
        <v>665</v>
      </c>
    </row>
    <row r="46" spans="1:21" x14ac:dyDescent="0.2">
      <c r="A46" s="180"/>
      <c r="D46" s="80"/>
      <c r="I46" s="17" t="s">
        <v>664</v>
      </c>
      <c r="L46" s="17" t="s">
        <v>664</v>
      </c>
      <c r="O46" s="17" t="s">
        <v>664</v>
      </c>
    </row>
    <row r="47" spans="1:21" x14ac:dyDescent="0.2">
      <c r="A47" s="180"/>
      <c r="D47" s="80"/>
      <c r="I47" s="17" t="s">
        <v>663</v>
      </c>
      <c r="L47" s="17" t="s">
        <v>663</v>
      </c>
      <c r="O47" s="17" t="s">
        <v>663</v>
      </c>
    </row>
    <row r="48" spans="1:21" x14ac:dyDescent="0.2">
      <c r="A48" s="180"/>
      <c r="D48" s="80"/>
      <c r="I48" s="17" t="s">
        <v>662</v>
      </c>
      <c r="L48" s="17" t="s">
        <v>662</v>
      </c>
      <c r="O48" s="17" t="s">
        <v>662</v>
      </c>
    </row>
    <row r="49" spans="1:15" x14ac:dyDescent="0.2">
      <c r="A49" s="180"/>
      <c r="D49" s="80"/>
      <c r="I49" s="17" t="s">
        <v>661</v>
      </c>
      <c r="L49" s="17" t="s">
        <v>661</v>
      </c>
      <c r="O49" s="17" t="s">
        <v>661</v>
      </c>
    </row>
    <row r="50" spans="1:15" x14ac:dyDescent="0.2">
      <c r="A50" s="180"/>
      <c r="D50" s="80"/>
      <c r="I50" s="17" t="s">
        <v>660</v>
      </c>
      <c r="L50" s="17" t="s">
        <v>660</v>
      </c>
      <c r="O50" s="17" t="s">
        <v>660</v>
      </c>
    </row>
    <row r="51" spans="1:15" x14ac:dyDescent="0.2">
      <c r="A51" s="180"/>
      <c r="D51" s="80"/>
      <c r="I51" s="17" t="s">
        <v>659</v>
      </c>
      <c r="L51" s="17" t="s">
        <v>659</v>
      </c>
      <c r="O51" s="17" t="s">
        <v>659</v>
      </c>
    </row>
    <row r="52" spans="1:15" x14ac:dyDescent="0.2">
      <c r="A52" s="180"/>
      <c r="D52" s="80"/>
      <c r="I52" s="17" t="s">
        <v>658</v>
      </c>
      <c r="L52" s="17" t="s">
        <v>658</v>
      </c>
      <c r="O52" s="17" t="s">
        <v>658</v>
      </c>
    </row>
    <row r="53" spans="1:15" x14ac:dyDescent="0.2">
      <c r="A53" s="180"/>
      <c r="D53" s="80"/>
      <c r="I53" s="17" t="s">
        <v>657</v>
      </c>
      <c r="L53" s="17" t="s">
        <v>657</v>
      </c>
      <c r="O53" s="17" t="s">
        <v>657</v>
      </c>
    </row>
    <row r="54" spans="1:15" x14ac:dyDescent="0.2">
      <c r="A54" s="180"/>
      <c r="D54" s="80"/>
      <c r="I54" s="17" t="s">
        <v>656</v>
      </c>
      <c r="L54" s="17" t="s">
        <v>656</v>
      </c>
      <c r="O54" s="17" t="s">
        <v>656</v>
      </c>
    </row>
    <row r="55" spans="1:15" x14ac:dyDescent="0.2">
      <c r="A55" s="180"/>
      <c r="D55" s="80"/>
      <c r="I55" s="17" t="s">
        <v>653</v>
      </c>
      <c r="L55" s="17" t="s">
        <v>653</v>
      </c>
      <c r="O55" s="17" t="s">
        <v>653</v>
      </c>
    </row>
    <row r="56" spans="1:15" x14ac:dyDescent="0.2">
      <c r="A56" s="180"/>
      <c r="D56" s="80"/>
      <c r="I56" s="17" t="s">
        <v>654</v>
      </c>
      <c r="L56" s="17" t="s">
        <v>654</v>
      </c>
      <c r="O56" s="17" t="s">
        <v>654</v>
      </c>
    </row>
    <row r="57" spans="1:15" x14ac:dyDescent="0.2">
      <c r="A57" s="180"/>
      <c r="D57" s="80"/>
      <c r="I57" s="17" t="s">
        <v>655</v>
      </c>
      <c r="L57" s="17" t="s">
        <v>655</v>
      </c>
      <c r="O57" s="17" t="s">
        <v>655</v>
      </c>
    </row>
    <row r="58" spans="1:15" x14ac:dyDescent="0.2">
      <c r="A58" s="180"/>
      <c r="D58" s="80"/>
      <c r="I58" s="17" t="s">
        <v>652</v>
      </c>
      <c r="L58" s="17" t="s">
        <v>652</v>
      </c>
      <c r="O58" s="17" t="s">
        <v>652</v>
      </c>
    </row>
    <row r="59" spans="1:15" x14ac:dyDescent="0.2">
      <c r="A59" s="180"/>
      <c r="D59" s="80"/>
      <c r="I59" s="17" t="s">
        <v>651</v>
      </c>
      <c r="L59" s="17" t="s">
        <v>651</v>
      </c>
      <c r="O59" s="17" t="s">
        <v>651</v>
      </c>
    </row>
    <row r="60" spans="1:15" x14ac:dyDescent="0.2">
      <c r="A60" s="180"/>
      <c r="D60" s="80"/>
      <c r="I60" s="17" t="s">
        <v>650</v>
      </c>
      <c r="L60" s="17" t="s">
        <v>650</v>
      </c>
      <c r="O60" s="17" t="s">
        <v>650</v>
      </c>
    </row>
    <row r="61" spans="1:15" x14ac:dyDescent="0.2">
      <c r="A61" s="180"/>
      <c r="D61" s="80"/>
      <c r="I61" s="17" t="s">
        <v>649</v>
      </c>
      <c r="L61" s="17" t="s">
        <v>649</v>
      </c>
      <c r="O61" s="17" t="s">
        <v>649</v>
      </c>
    </row>
    <row r="62" spans="1:15" x14ac:dyDescent="0.2">
      <c r="A62" s="180"/>
      <c r="D62" s="80"/>
      <c r="I62" s="17" t="s">
        <v>725</v>
      </c>
      <c r="L62" s="17" t="s">
        <v>725</v>
      </c>
      <c r="O62" s="17" t="s">
        <v>725</v>
      </c>
    </row>
    <row r="63" spans="1:15" x14ac:dyDescent="0.2">
      <c r="A63" s="180"/>
      <c r="D63" s="80"/>
      <c r="I63" s="17" t="s">
        <v>724</v>
      </c>
      <c r="L63" s="17" t="s">
        <v>724</v>
      </c>
      <c r="O63" s="17" t="s">
        <v>724</v>
      </c>
    </row>
    <row r="64" spans="1:15" x14ac:dyDescent="0.2">
      <c r="A64" s="180"/>
      <c r="D64" s="80"/>
      <c r="I64" s="17" t="s">
        <v>723</v>
      </c>
      <c r="L64" s="17" t="s">
        <v>723</v>
      </c>
      <c r="O64" s="17" t="s">
        <v>723</v>
      </c>
    </row>
    <row r="65" spans="1:15" x14ac:dyDescent="0.2">
      <c r="A65" s="181"/>
      <c r="D65" s="80"/>
      <c r="I65" s="17" t="s">
        <v>722</v>
      </c>
      <c r="L65" s="17" t="s">
        <v>722</v>
      </c>
      <c r="O65" s="17" t="s">
        <v>722</v>
      </c>
    </row>
    <row r="66" spans="1:15" x14ac:dyDescent="0.2">
      <c r="D66" s="80"/>
      <c r="I66" s="17" t="s">
        <v>721</v>
      </c>
      <c r="L66" s="17" t="s">
        <v>721</v>
      </c>
      <c r="O66" s="17" t="s">
        <v>721</v>
      </c>
    </row>
    <row r="67" spans="1:15" x14ac:dyDescent="0.2">
      <c r="D67" s="80"/>
      <c r="I67" s="17" t="s">
        <v>720</v>
      </c>
      <c r="L67" s="17" t="s">
        <v>720</v>
      </c>
      <c r="O67" s="17" t="s">
        <v>720</v>
      </c>
    </row>
    <row r="68" spans="1:15" x14ac:dyDescent="0.2">
      <c r="D68" s="80"/>
    </row>
    <row r="69" spans="1:15" x14ac:dyDescent="0.2">
      <c r="D69" s="80"/>
    </row>
    <row r="70" spans="1:15" x14ac:dyDescent="0.2">
      <c r="D70" s="80"/>
    </row>
    <row r="71" spans="1:15" x14ac:dyDescent="0.2">
      <c r="D71" s="80"/>
    </row>
    <row r="72" spans="1:15" x14ac:dyDescent="0.2">
      <c r="D72" s="80"/>
    </row>
    <row r="73" spans="1:15" x14ac:dyDescent="0.2">
      <c r="D73" s="80"/>
    </row>
    <row r="74" spans="1:15" x14ac:dyDescent="0.2">
      <c r="D74" s="80"/>
    </row>
    <row r="75" spans="1:15" x14ac:dyDescent="0.2">
      <c r="D75" s="80"/>
    </row>
    <row r="76" spans="1:15" x14ac:dyDescent="0.2">
      <c r="D76" s="80"/>
    </row>
    <row r="77" spans="1:15" x14ac:dyDescent="0.2">
      <c r="D77" s="80"/>
    </row>
    <row r="78" spans="1:15" x14ac:dyDescent="0.2">
      <c r="D78" s="80"/>
    </row>
    <row r="79" spans="1:15" x14ac:dyDescent="0.2">
      <c r="D79" s="80"/>
    </row>
    <row r="80" spans="1:15" x14ac:dyDescent="0.2">
      <c r="D80" s="80"/>
    </row>
    <row r="81" spans="4:4" x14ac:dyDescent="0.2">
      <c r="D81" s="80"/>
    </row>
    <row r="82" spans="4:4" x14ac:dyDescent="0.2">
      <c r="D82" s="80"/>
    </row>
    <row r="83" spans="4:4" x14ac:dyDescent="0.2">
      <c r="D83" s="80"/>
    </row>
    <row r="84" spans="4:4" x14ac:dyDescent="0.2">
      <c r="D84" s="80"/>
    </row>
    <row r="85" spans="4:4" x14ac:dyDescent="0.2">
      <c r="D85" s="80"/>
    </row>
    <row r="86" spans="4:4" x14ac:dyDescent="0.2">
      <c r="D86" s="80"/>
    </row>
    <row r="87" spans="4:4" x14ac:dyDescent="0.2">
      <c r="D87" s="80"/>
    </row>
    <row r="88" spans="4:4" x14ac:dyDescent="0.2">
      <c r="D88" s="80"/>
    </row>
    <row r="89" spans="4:4" x14ac:dyDescent="0.2">
      <c r="D89" s="80"/>
    </row>
    <row r="90" spans="4:4" x14ac:dyDescent="0.2">
      <c r="D90" s="80"/>
    </row>
    <row r="91" spans="4:4" x14ac:dyDescent="0.2">
      <c r="D91" s="80"/>
    </row>
    <row r="92" spans="4:4" x14ac:dyDescent="0.2">
      <c r="D92" s="80"/>
    </row>
    <row r="93" spans="4:4" x14ac:dyDescent="0.2">
      <c r="D93" s="80"/>
    </row>
    <row r="94" spans="4:4" x14ac:dyDescent="0.2">
      <c r="D94" s="80"/>
    </row>
    <row r="95" spans="4:4" x14ac:dyDescent="0.2">
      <c r="D95" s="80"/>
    </row>
    <row r="96" spans="4:4" x14ac:dyDescent="0.2">
      <c r="D96" s="80"/>
    </row>
    <row r="97" spans="4:4" x14ac:dyDescent="0.2">
      <c r="D97" s="80"/>
    </row>
    <row r="98" spans="4:4" x14ac:dyDescent="0.2">
      <c r="D98" s="80"/>
    </row>
    <row r="99" spans="4:4" x14ac:dyDescent="0.2">
      <c r="D99" s="80"/>
    </row>
    <row r="100" spans="4:4" x14ac:dyDescent="0.2">
      <c r="D100" s="80"/>
    </row>
    <row r="101" spans="4:4" x14ac:dyDescent="0.2">
      <c r="D101" s="80"/>
    </row>
    <row r="102" spans="4:4" x14ac:dyDescent="0.2">
      <c r="D102" s="80"/>
    </row>
    <row r="103" spans="4:4" x14ac:dyDescent="0.2">
      <c r="D103" s="80"/>
    </row>
    <row r="104" spans="4:4" x14ac:dyDescent="0.2">
      <c r="D104" s="80"/>
    </row>
    <row r="105" spans="4:4" x14ac:dyDescent="0.2">
      <c r="D105" s="80"/>
    </row>
    <row r="106" spans="4:4" x14ac:dyDescent="0.2">
      <c r="D106" s="80"/>
    </row>
    <row r="107" spans="4:4" x14ac:dyDescent="0.2">
      <c r="D107" s="80"/>
    </row>
    <row r="108" spans="4:4" x14ac:dyDescent="0.2">
      <c r="D108" s="80"/>
    </row>
    <row r="109" spans="4:4" x14ac:dyDescent="0.2">
      <c r="D109" s="80"/>
    </row>
    <row r="110" spans="4:4" x14ac:dyDescent="0.2">
      <c r="D110" s="80"/>
    </row>
    <row r="111" spans="4:4" x14ac:dyDescent="0.2">
      <c r="D111" s="80"/>
    </row>
    <row r="112" spans="4:4" x14ac:dyDescent="0.2">
      <c r="D112" s="80"/>
    </row>
    <row r="113" spans="4:4" x14ac:dyDescent="0.2">
      <c r="D113" s="80"/>
    </row>
    <row r="114" spans="4:4" x14ac:dyDescent="0.2">
      <c r="D114" s="80"/>
    </row>
    <row r="115" spans="4:4" x14ac:dyDescent="0.2">
      <c r="D115" s="80"/>
    </row>
    <row r="116" spans="4:4" x14ac:dyDescent="0.2">
      <c r="D116" s="80"/>
    </row>
    <row r="117" spans="4:4" x14ac:dyDescent="0.2">
      <c r="D117" s="80"/>
    </row>
    <row r="118" spans="4:4" x14ac:dyDescent="0.2">
      <c r="D118" s="80"/>
    </row>
    <row r="119" spans="4:4" x14ac:dyDescent="0.2">
      <c r="D119" s="80"/>
    </row>
    <row r="120" spans="4:4" x14ac:dyDescent="0.2">
      <c r="D120" s="80"/>
    </row>
    <row r="121" spans="4:4" x14ac:dyDescent="0.2">
      <c r="D121" s="80"/>
    </row>
    <row r="122" spans="4:4" x14ac:dyDescent="0.2">
      <c r="D122" s="80"/>
    </row>
    <row r="123" spans="4:4" x14ac:dyDescent="0.2">
      <c r="D123" s="80"/>
    </row>
    <row r="124" spans="4:4" x14ac:dyDescent="0.2">
      <c r="D124" s="80"/>
    </row>
    <row r="125" spans="4:4" x14ac:dyDescent="0.2">
      <c r="D125" s="80"/>
    </row>
    <row r="126" spans="4:4" x14ac:dyDescent="0.2">
      <c r="D126" s="80"/>
    </row>
    <row r="127" spans="4:4" x14ac:dyDescent="0.2">
      <c r="D127" s="80"/>
    </row>
    <row r="128" spans="4:4" x14ac:dyDescent="0.2">
      <c r="D128" s="80"/>
    </row>
    <row r="129" spans="4:4" x14ac:dyDescent="0.2">
      <c r="D129" s="80"/>
    </row>
    <row r="130" spans="4:4" x14ac:dyDescent="0.2">
      <c r="D130" s="80"/>
    </row>
    <row r="131" spans="4:4" x14ac:dyDescent="0.2">
      <c r="D131" s="80"/>
    </row>
    <row r="132" spans="4:4" x14ac:dyDescent="0.2">
      <c r="D132" s="80"/>
    </row>
    <row r="133" spans="4:4" x14ac:dyDescent="0.2">
      <c r="D133" s="80"/>
    </row>
    <row r="134" spans="4:4" x14ac:dyDescent="0.2">
      <c r="D134" s="80"/>
    </row>
    <row r="135" spans="4:4" x14ac:dyDescent="0.2">
      <c r="D135" s="80"/>
    </row>
    <row r="136" spans="4:4" x14ac:dyDescent="0.2">
      <c r="D136" s="80"/>
    </row>
    <row r="137" spans="4:4" x14ac:dyDescent="0.2">
      <c r="D137" s="80"/>
    </row>
    <row r="138" spans="4:4" x14ac:dyDescent="0.2">
      <c r="D138" s="80"/>
    </row>
    <row r="139" spans="4:4" x14ac:dyDescent="0.2">
      <c r="D139" s="80"/>
    </row>
    <row r="140" spans="4:4" x14ac:dyDescent="0.2">
      <c r="D140" s="80"/>
    </row>
    <row r="141" spans="4:4" x14ac:dyDescent="0.2">
      <c r="D141" s="80"/>
    </row>
    <row r="142" spans="4:4" x14ac:dyDescent="0.2">
      <c r="D142" s="80"/>
    </row>
  </sheetData>
  <mergeCells count="14">
    <mergeCell ref="H1:J1"/>
    <mergeCell ref="K1:M1"/>
    <mergeCell ref="T1:U1"/>
    <mergeCell ref="Q1:Q2"/>
    <mergeCell ref="R1:R2"/>
    <mergeCell ref="S1:S2"/>
    <mergeCell ref="N1:P1"/>
    <mergeCell ref="F1:G1"/>
    <mergeCell ref="E1:E2"/>
    <mergeCell ref="D1:D2"/>
    <mergeCell ref="A41:A65"/>
    <mergeCell ref="A1:A2"/>
    <mergeCell ref="B1:B2"/>
    <mergeCell ref="C1:C2"/>
  </mergeCells>
  <phoneticPr fontId="5" type="noConversion"/>
  <conditionalFormatting sqref="R41:R43 R3:R38">
    <cfRule type="cellIs" dxfId="33" priority="394" stopIfTrue="1" operator="equal">
      <formula>$R$41</formula>
    </cfRule>
    <cfRule type="cellIs" dxfId="32" priority="395" stopIfTrue="1" operator="equal">
      <formula>$R$42</formula>
    </cfRule>
    <cfRule type="cellIs" dxfId="31" priority="396" stopIfTrue="1" operator="equal">
      <formula>$R$43</formula>
    </cfRule>
  </conditionalFormatting>
  <conditionalFormatting sqref="L3:L38 O3:O38 I3:I38 I41:I67 L41:L67 O41:O67">
    <cfRule type="cellIs" dxfId="30" priority="389" stopIfTrue="1" operator="between">
      <formula>$I$49</formula>
      <formula>$I$67</formula>
    </cfRule>
    <cfRule type="cellIs" dxfId="29" priority="390" stopIfTrue="1" operator="between">
      <formula>$I$48</formula>
      <formula>$I$46</formula>
    </cfRule>
    <cfRule type="cellIs" dxfId="28" priority="391" stopIfTrue="1" operator="between">
      <formula>$I$45</formula>
      <formula>$I$41</formula>
    </cfRule>
  </conditionalFormatting>
  <conditionalFormatting sqref="R3:R38">
    <cfRule type="cellIs" dxfId="27" priority="403" stopIfTrue="1" operator="equal">
      <formula>$R$235</formula>
    </cfRule>
    <cfRule type="cellIs" dxfId="26" priority="404" stopIfTrue="1" operator="equal">
      <formula>$R$234</formula>
    </cfRule>
    <cfRule type="cellIs" dxfId="25" priority="405" stopIfTrue="1" operator="equal">
      <formula>$R$233</formula>
    </cfRule>
  </conditionalFormatting>
  <conditionalFormatting sqref="O3:O38 L3:L38 I3:I30 I38">
    <cfRule type="cellIs" dxfId="24" priority="10" stopIfTrue="1" operator="equal">
      <formula>$I$68</formula>
    </cfRule>
  </conditionalFormatting>
  <dataValidations count="7">
    <dataValidation type="list" allowBlank="1" showInputMessage="1" showErrorMessage="1" sqref="F3:F38">
      <formula1>Level1agencysaving</formula1>
    </dataValidation>
    <dataValidation type="list" allowBlank="1" showInputMessage="1" showErrorMessage="1" sqref="G3:G38">
      <formula1>Level2agencysaving</formula1>
    </dataValidation>
    <dataValidation type="list" allowBlank="1" showInputMessage="1" showErrorMessage="1" sqref="E3:E38">
      <formula1>Unit</formula1>
    </dataValidation>
    <dataValidation type="list" allowBlank="1" showInputMessage="1" showErrorMessage="1" sqref="L3:L38 O3:O38 I3:I38">
      <formula1>Year</formula1>
    </dataValidation>
    <dataValidation type="list" allowBlank="1" showInputMessage="1" showErrorMessage="1" sqref="T3:T38">
      <formula1>$T$41:$T$42</formula1>
    </dataValidation>
    <dataValidation type="list" allowBlank="1" showInputMessage="1" showErrorMessage="1" sqref="B3:B38">
      <formula1>Outcomedetail</formula1>
    </dataValidation>
    <dataValidation type="list" allowBlank="1" showInputMessage="1" showErrorMessage="1" sqref="A3:A38">
      <formula1>Outcomecategory</formula1>
    </dataValidation>
  </dataValidations>
  <hyperlinks>
    <hyperlink ref="Q3" r:id="rId1" display="Research briefing: Immediate costs to government of loss of home (Shelter, 2012)"/>
    <hyperlink ref="Q4:Q9" r:id="rId2" display="Research briefing: Immediate costs to government of loss of home (Shelter, 2012)"/>
    <hyperlink ref="Q10" r:id="rId3" display="Research briefing: Immediate costs to government of loss of home (Shelter, 2012)"/>
    <hyperlink ref="Q12" r:id="rId4" display="Research briefing: Immediate costs to government of loss of home (Shelter, 2012)"/>
    <hyperlink ref="Q11" r:id="rId5" display="Research briefing: Immediate costs to government of loss of home (Shelter, 2012)"/>
    <hyperlink ref="Q13" r:id="rId6" display="Research briefing: Immediate costs to government of loss of home (Shelter, 2012)"/>
    <hyperlink ref="Q14:Q17" r:id="rId7" display="Research briefing: Immediate costs to government of loss of home (Shelter, 2012)"/>
    <hyperlink ref="Q18" r:id="rId8" display="Research briefing: Immediate costs to government of loss of home (Shelter, 2012)"/>
    <hyperlink ref="Q19" r:id="rId9" display="Research briefing: Immediate costs to government of loss of home (Shelter, 2012)"/>
    <hyperlink ref="Q24" r:id="rId10" display="Research briefing: Immediate costs to government of loss of home (Shelter, 2012)"/>
    <hyperlink ref="Q26" r:id="rId11" display="Research briefing: Immediate costs to government of loss of home (Shelter, 2012)"/>
    <hyperlink ref="Q25" r:id="rId12" display="Research briefing: Immediate costs to government of loss of home (Shelter, 2012)"/>
    <hyperlink ref="Q30" r:id="rId13" display="Housing Benefit and Council Tax Benefit caseload summary statistics, Table 5 (DWP, 2013)"/>
    <hyperlink ref="Q38" r:id="rId14" display="Research briefing: Immediate costs to government of loss of home (Shelter, 2012)"/>
    <hyperlink ref="Q20:Q23" r:id="rId15" display="Research briefing: Immediate costs to government of loss of home (Shelter, 2012)"/>
    <hyperlink ref="Q27" r:id="rId16" display="Research briefing: Immediate costs to government of loss of home (Shelter, 2012)"/>
    <hyperlink ref="Q28" r:id="rId17"/>
    <hyperlink ref="Q31:Q37" r:id="rId18" display="Housing Benefit and Council Tax Benefit caseload summary statistics, Table 5 (DWP, 2013)"/>
  </hyperlinks>
  <pageMargins left="0.74803149606299213" right="0.74803149606299213" top="0.98425196850393704" bottom="0.98425196850393704" header="0.51181102362204722" footer="0.51181102362204722"/>
  <pageSetup paperSize="8" scale="44" orientation="landscape" r:id="rId19"/>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sheetPr>
  <dimension ref="A1:U242"/>
  <sheetViews>
    <sheetView showGridLines="0" zoomScale="80" zoomScaleNormal="80" workbookViewId="0">
      <pane xSplit="4" ySplit="2" topLeftCell="E3" activePane="bottomRight" state="frozen"/>
      <selection pane="topRight" activeCell="E1" sqref="E1"/>
      <selection pane="bottomLeft" activeCell="A3" sqref="A3"/>
      <selection pane="bottomRight" sqref="A1:A2"/>
    </sheetView>
  </sheetViews>
  <sheetFormatPr defaultRowHeight="12.75" outlineLevelRow="2" x14ac:dyDescent="0.2"/>
  <cols>
    <col min="1" max="1" width="12.625" style="79" customWidth="1" collapsed="1"/>
    <col min="2" max="2" width="14.125" style="79" customWidth="1"/>
    <col min="3" max="3" width="8.5" style="79" customWidth="1"/>
    <col min="4" max="4" width="43.25" style="79" customWidth="1"/>
    <col min="5" max="5" width="15" style="79" customWidth="1"/>
    <col min="6" max="6" width="16" style="79" customWidth="1"/>
    <col min="7" max="7" width="15.75" style="79" customWidth="1"/>
    <col min="8" max="8" width="12.5" style="79" bestFit="1" customWidth="1"/>
    <col min="9" max="9" width="10" style="79" customWidth="1"/>
    <col min="10" max="11" width="12.5" style="79" bestFit="1" customWidth="1"/>
    <col min="12" max="12" width="10" style="79" customWidth="1"/>
    <col min="13" max="14" width="12.5" style="79" bestFit="1" customWidth="1"/>
    <col min="15" max="15" width="10" style="79" customWidth="1"/>
    <col min="16" max="16" width="12.5" style="79" bestFit="1" customWidth="1"/>
    <col min="17" max="17" width="46.125" style="79" customWidth="1"/>
    <col min="18" max="18" width="12.5" style="79" customWidth="1"/>
    <col min="19" max="19" width="78.25" style="79" customWidth="1" collapsed="1"/>
    <col min="20" max="20" width="10.125" style="79" customWidth="1"/>
    <col min="21" max="21" width="20.875" style="79" customWidth="1"/>
    <col min="22" max="16384" width="9" style="79"/>
  </cols>
  <sheetData>
    <row r="1" spans="1:21" s="51" customFormat="1" ht="31.5" customHeight="1" x14ac:dyDescent="0.2">
      <c r="A1" s="182" t="s">
        <v>715</v>
      </c>
      <c r="B1" s="178" t="s">
        <v>716</v>
      </c>
      <c r="C1" s="178" t="s">
        <v>1409</v>
      </c>
      <c r="D1" s="178" t="s">
        <v>717</v>
      </c>
      <c r="E1" s="178" t="s">
        <v>644</v>
      </c>
      <c r="F1" s="178" t="s">
        <v>1778</v>
      </c>
      <c r="G1" s="178"/>
      <c r="H1" s="178" t="s">
        <v>1859</v>
      </c>
      <c r="I1" s="178"/>
      <c r="J1" s="178"/>
      <c r="K1" s="178" t="s">
        <v>1860</v>
      </c>
      <c r="L1" s="178"/>
      <c r="M1" s="178"/>
      <c r="N1" s="178" t="s">
        <v>1861</v>
      </c>
      <c r="O1" s="178"/>
      <c r="P1" s="178"/>
      <c r="Q1" s="178" t="s">
        <v>643</v>
      </c>
      <c r="R1" s="178" t="s">
        <v>966</v>
      </c>
      <c r="S1" s="178" t="s">
        <v>1408</v>
      </c>
      <c r="T1" s="178" t="s">
        <v>68</v>
      </c>
      <c r="U1" s="185"/>
    </row>
    <row r="2" spans="1:21" s="51" customFormat="1" ht="30" customHeight="1" collapsed="1" x14ac:dyDescent="0.2">
      <c r="A2" s="183"/>
      <c r="B2" s="184"/>
      <c r="C2" s="184"/>
      <c r="D2" s="184"/>
      <c r="E2" s="184"/>
      <c r="F2" s="107" t="s">
        <v>672</v>
      </c>
      <c r="G2" s="107" t="s">
        <v>673</v>
      </c>
      <c r="H2" s="107" t="s">
        <v>718</v>
      </c>
      <c r="I2" s="107" t="s">
        <v>648</v>
      </c>
      <c r="J2" s="107" t="s">
        <v>1403</v>
      </c>
      <c r="K2" s="107" t="s">
        <v>718</v>
      </c>
      <c r="L2" s="107" t="s">
        <v>648</v>
      </c>
      <c r="M2" s="107" t="s">
        <v>1403</v>
      </c>
      <c r="N2" s="107" t="s">
        <v>718</v>
      </c>
      <c r="O2" s="107" t="s">
        <v>648</v>
      </c>
      <c r="P2" s="107" t="s">
        <v>1403</v>
      </c>
      <c r="Q2" s="184"/>
      <c r="R2" s="184"/>
      <c r="S2" s="184"/>
      <c r="T2" s="108" t="s">
        <v>1910</v>
      </c>
      <c r="U2" s="109" t="s">
        <v>1909</v>
      </c>
    </row>
    <row r="3" spans="1:21" s="40" customFormat="1" ht="60" customHeight="1" collapsed="1" x14ac:dyDescent="0.2">
      <c r="A3" s="52" t="s">
        <v>703</v>
      </c>
      <c r="B3" s="52" t="s">
        <v>1416</v>
      </c>
      <c r="C3" s="52" t="s">
        <v>944</v>
      </c>
      <c r="D3" s="52" t="s">
        <v>2397</v>
      </c>
      <c r="E3" s="14" t="s">
        <v>634</v>
      </c>
      <c r="F3" s="4" t="s">
        <v>679</v>
      </c>
      <c r="G3" s="4" t="s">
        <v>1347</v>
      </c>
      <c r="H3" s="11">
        <v>51080</v>
      </c>
      <c r="I3" s="129" t="s">
        <v>727</v>
      </c>
      <c r="J3" s="19">
        <f>IF(H3&gt;0,(H3*VLOOKUP(Lookups!$K$11,Lookups!$M$10:$P$40,4,0)/VLOOKUP(I3,Lookups!$M$10:$P$40,4,0)),"")</f>
        <v>52675.637039999994</v>
      </c>
      <c r="K3" s="11"/>
      <c r="L3" s="129"/>
      <c r="M3" s="19" t="str">
        <f>IF(K3&gt;0,(K3*VLOOKUP(Lookups!$K$11,Lookups!$M$10:$P$40,4,0)/VLOOKUP(L3,Lookups!$M$10:$P$40,4,0)),"")</f>
        <v/>
      </c>
      <c r="N3" s="11"/>
      <c r="O3" s="129"/>
      <c r="P3" s="19" t="str">
        <f>IF(N3&gt;0,(N3*VLOOKUP(Lookups!$K$11,Lookups!$M$10:$P$40,4,0)/VLOOKUP(O3,Lookups!$M$10:$P$40,4,0)),"")</f>
        <v/>
      </c>
      <c r="Q3" s="16" t="s">
        <v>384</v>
      </c>
      <c r="R3" s="17" t="s">
        <v>619</v>
      </c>
      <c r="S3" s="53" t="s">
        <v>2478</v>
      </c>
      <c r="T3" s="13" t="s">
        <v>1912</v>
      </c>
      <c r="U3" s="13" t="s">
        <v>171</v>
      </c>
    </row>
    <row r="4" spans="1:21" s="40" customFormat="1" ht="60" hidden="1" customHeight="1" outlineLevel="1" x14ac:dyDescent="0.2">
      <c r="A4" s="54" t="s">
        <v>703</v>
      </c>
      <c r="B4" s="54" t="s">
        <v>1416</v>
      </c>
      <c r="C4" s="54" t="s">
        <v>945</v>
      </c>
      <c r="D4" s="54" t="s">
        <v>946</v>
      </c>
      <c r="E4" s="14" t="s">
        <v>634</v>
      </c>
      <c r="F4" s="4" t="s">
        <v>679</v>
      </c>
      <c r="G4" s="4" t="s">
        <v>1347</v>
      </c>
      <c r="H4" s="11">
        <v>29580</v>
      </c>
      <c r="I4" s="129" t="s">
        <v>664</v>
      </c>
      <c r="J4" s="19">
        <f>IF(H4&gt;0,(H4*VLOOKUP(Lookups!$K$11,Lookups!$M$10:$P$40,4,0)/VLOOKUP(I4,Lookups!$M$10:$P$40,4,0)),"")</f>
        <v>32221.021433408976</v>
      </c>
      <c r="K4" s="11"/>
      <c r="L4" s="129"/>
      <c r="M4" s="19" t="str">
        <f>IF(K4&gt;0,(K4*VLOOKUP(Lookups!$K$11,Lookups!$M$10:$P$40,4,0)/VLOOKUP(L4,Lookups!$M$10:$P$40,4,0)),"")</f>
        <v/>
      </c>
      <c r="N4" s="11"/>
      <c r="O4" s="129"/>
      <c r="P4" s="19" t="str">
        <f>IF(N4&gt;0,(N4*VLOOKUP(Lookups!$K$11,Lookups!$M$10:$P$40,4,0)/VLOOKUP(O4,Lookups!$M$10:$P$40,4,0)),"")</f>
        <v/>
      </c>
      <c r="Q4" s="77" t="s">
        <v>947</v>
      </c>
      <c r="R4" s="17" t="s">
        <v>621</v>
      </c>
      <c r="S4" s="4" t="s">
        <v>1535</v>
      </c>
      <c r="T4" s="13"/>
      <c r="U4" s="120" t="s">
        <v>2226</v>
      </c>
    </row>
    <row r="5" spans="1:21" s="40" customFormat="1" ht="60" hidden="1" customHeight="1" outlineLevel="2" x14ac:dyDescent="0.2">
      <c r="A5" s="4" t="s">
        <v>703</v>
      </c>
      <c r="B5" s="4" t="s">
        <v>1416</v>
      </c>
      <c r="C5" s="4" t="s">
        <v>1536</v>
      </c>
      <c r="D5" s="55" t="s">
        <v>1537</v>
      </c>
      <c r="E5" s="14" t="s">
        <v>634</v>
      </c>
      <c r="F5" s="4" t="s">
        <v>679</v>
      </c>
      <c r="G5" s="4" t="s">
        <v>1347</v>
      </c>
      <c r="H5" s="11">
        <v>274</v>
      </c>
      <c r="I5" s="129" t="s">
        <v>664</v>
      </c>
      <c r="J5" s="19">
        <f>IF(H5&gt;0,(H5*VLOOKUP(Lookups!$K$11,Lookups!$M$10:$P$40,4,0)/VLOOKUP(I5,Lookups!$M$10:$P$40,4,0)),"")</f>
        <v>298.46382260831842</v>
      </c>
      <c r="K5" s="11"/>
      <c r="L5" s="129"/>
      <c r="M5" s="19" t="str">
        <f>IF(K5&gt;0,(K5*VLOOKUP(Lookups!$K$11,Lookups!$M$10:$P$40,4,0)/VLOOKUP(L5,Lookups!$M$10:$P$40,4,0)),"")</f>
        <v/>
      </c>
      <c r="N5" s="11"/>
      <c r="O5" s="129"/>
      <c r="P5" s="19" t="str">
        <f>IF(N5&gt;0,(N5*VLOOKUP(Lookups!$K$11,Lookups!$M$10:$P$40,4,0)/VLOOKUP(O5,Lookups!$M$10:$P$40,4,0)),"")</f>
        <v/>
      </c>
      <c r="Q5" s="77" t="s">
        <v>947</v>
      </c>
      <c r="R5" s="17" t="s">
        <v>621</v>
      </c>
      <c r="S5" s="4" t="s">
        <v>1538</v>
      </c>
      <c r="T5" s="13"/>
      <c r="U5" s="120" t="s">
        <v>2226</v>
      </c>
    </row>
    <row r="6" spans="1:21" s="40" customFormat="1" ht="60" hidden="1" customHeight="1" outlineLevel="2" x14ac:dyDescent="0.2">
      <c r="A6" s="4" t="s">
        <v>703</v>
      </c>
      <c r="B6" s="4" t="s">
        <v>1416</v>
      </c>
      <c r="C6" s="4" t="s">
        <v>1539</v>
      </c>
      <c r="D6" s="55" t="s">
        <v>517</v>
      </c>
      <c r="E6" s="14" t="s">
        <v>634</v>
      </c>
      <c r="F6" s="4" t="s">
        <v>679</v>
      </c>
      <c r="G6" s="4" t="s">
        <v>1347</v>
      </c>
      <c r="H6" s="11">
        <v>28080</v>
      </c>
      <c r="I6" s="129" t="s">
        <v>664</v>
      </c>
      <c r="J6" s="19">
        <f>IF(H6&gt;0,(H6*VLOOKUP(Lookups!$K$11,Lookups!$M$10:$P$40,4,0)/VLOOKUP(I6,Lookups!$M$10:$P$40,4,0)),"")</f>
        <v>30587.095397232049</v>
      </c>
      <c r="K6" s="11"/>
      <c r="L6" s="129"/>
      <c r="M6" s="19" t="str">
        <f>IF(K6&gt;0,(K6*VLOOKUP(Lookups!$K$11,Lookups!$M$10:$P$40,4,0)/VLOOKUP(L6,Lookups!$M$10:$P$40,4,0)),"")</f>
        <v/>
      </c>
      <c r="N6" s="11"/>
      <c r="O6" s="129"/>
      <c r="P6" s="19" t="str">
        <f>IF(N6&gt;0,(N6*VLOOKUP(Lookups!$K$11,Lookups!$M$10:$P$40,4,0)/VLOOKUP(O6,Lookups!$M$10:$P$40,4,0)),"")</f>
        <v/>
      </c>
      <c r="Q6" s="77" t="s">
        <v>947</v>
      </c>
      <c r="R6" s="17" t="s">
        <v>621</v>
      </c>
      <c r="S6" s="4" t="s">
        <v>518</v>
      </c>
      <c r="T6" s="13"/>
      <c r="U6" s="120" t="s">
        <v>2226</v>
      </c>
    </row>
    <row r="7" spans="1:21" s="40" customFormat="1" ht="60" hidden="1" customHeight="1" outlineLevel="2" x14ac:dyDescent="0.2">
      <c r="A7" s="4" t="s">
        <v>703</v>
      </c>
      <c r="B7" s="4" t="s">
        <v>1416</v>
      </c>
      <c r="C7" s="4" t="s">
        <v>519</v>
      </c>
      <c r="D7" s="55" t="s">
        <v>520</v>
      </c>
      <c r="E7" s="14" t="s">
        <v>634</v>
      </c>
      <c r="F7" s="4" t="s">
        <v>679</v>
      </c>
      <c r="G7" s="4" t="s">
        <v>1347</v>
      </c>
      <c r="H7" s="11">
        <v>945</v>
      </c>
      <c r="I7" s="129" t="s">
        <v>664</v>
      </c>
      <c r="J7" s="19">
        <f>IF(H7&gt;0,(H7*VLOOKUP(Lookups!$K$11,Lookups!$M$10:$P$40,4,0)/VLOOKUP(I7,Lookups!$M$10:$P$40,4,0)),"")</f>
        <v>1029.3734027914631</v>
      </c>
      <c r="K7" s="11"/>
      <c r="L7" s="129"/>
      <c r="M7" s="19" t="str">
        <f>IF(K7&gt;0,(K7*VLOOKUP(Lookups!$K$11,Lookups!$M$10:$P$40,4,0)/VLOOKUP(L7,Lookups!$M$10:$P$40,4,0)),"")</f>
        <v/>
      </c>
      <c r="N7" s="11"/>
      <c r="O7" s="129"/>
      <c r="P7" s="19" t="str">
        <f>IF(N7&gt;0,(N7*VLOOKUP(Lookups!$K$11,Lookups!$M$10:$P$40,4,0)/VLOOKUP(O7,Lookups!$M$10:$P$40,4,0)),"")</f>
        <v/>
      </c>
      <c r="Q7" s="77" t="s">
        <v>947</v>
      </c>
      <c r="R7" s="17" t="s">
        <v>621</v>
      </c>
      <c r="S7" s="4" t="s">
        <v>1239</v>
      </c>
      <c r="T7" s="13"/>
      <c r="U7" s="120" t="s">
        <v>2226</v>
      </c>
    </row>
    <row r="8" spans="1:21" s="40" customFormat="1" ht="60" hidden="1" customHeight="1" outlineLevel="2" x14ac:dyDescent="0.2">
      <c r="A8" s="4" t="s">
        <v>703</v>
      </c>
      <c r="B8" s="4" t="s">
        <v>1416</v>
      </c>
      <c r="C8" s="4" t="s">
        <v>1240</v>
      </c>
      <c r="D8" s="55" t="s">
        <v>1241</v>
      </c>
      <c r="E8" s="14" t="s">
        <v>634</v>
      </c>
      <c r="F8" s="4" t="s">
        <v>679</v>
      </c>
      <c r="G8" s="4" t="s">
        <v>1347</v>
      </c>
      <c r="H8" s="11">
        <v>281</v>
      </c>
      <c r="I8" s="129" t="s">
        <v>664</v>
      </c>
      <c r="J8" s="19">
        <f>IF(H8&gt;0,(H8*VLOOKUP(Lookups!$K$11,Lookups!$M$10:$P$40,4,0)/VLOOKUP(I8,Lookups!$M$10:$P$40,4,0)),"")</f>
        <v>306.08881077714409</v>
      </c>
      <c r="K8" s="11"/>
      <c r="L8" s="129"/>
      <c r="M8" s="19" t="str">
        <f>IF(K8&gt;0,(K8*VLOOKUP(Lookups!$K$11,Lookups!$M$10:$P$40,4,0)/VLOOKUP(L8,Lookups!$M$10:$P$40,4,0)),"")</f>
        <v/>
      </c>
      <c r="N8" s="11"/>
      <c r="O8" s="129"/>
      <c r="P8" s="19" t="str">
        <f>IF(N8&gt;0,(N8*VLOOKUP(Lookups!$K$11,Lookups!$M$10:$P$40,4,0)/VLOOKUP(O8,Lookups!$M$10:$P$40,4,0)),"")</f>
        <v/>
      </c>
      <c r="Q8" s="77" t="s">
        <v>947</v>
      </c>
      <c r="R8" s="17" t="s">
        <v>621</v>
      </c>
      <c r="S8" s="4" t="s">
        <v>1242</v>
      </c>
      <c r="T8" s="13"/>
      <c r="U8" s="120" t="s">
        <v>2226</v>
      </c>
    </row>
    <row r="9" spans="1:21" s="40" customFormat="1" ht="60" hidden="1" customHeight="1" outlineLevel="2" x14ac:dyDescent="0.2">
      <c r="A9" s="4" t="s">
        <v>703</v>
      </c>
      <c r="B9" s="4" t="s">
        <v>1416</v>
      </c>
      <c r="C9" s="4" t="s">
        <v>1243</v>
      </c>
      <c r="D9" s="55" t="s">
        <v>1244</v>
      </c>
      <c r="E9" s="14" t="s">
        <v>637</v>
      </c>
      <c r="F9" s="4" t="s">
        <v>679</v>
      </c>
      <c r="G9" s="4" t="s">
        <v>1347</v>
      </c>
      <c r="H9" s="11">
        <v>1328</v>
      </c>
      <c r="I9" s="129" t="s">
        <v>664</v>
      </c>
      <c r="J9" s="19">
        <f>IF(H9&gt;0,(H9*VLOOKUP(Lookups!$K$11,Lookups!$M$10:$P$40,4,0)/VLOOKUP(I9,Lookups!$M$10:$P$40,4,0)),"")</f>
        <v>1446.5691840286383</v>
      </c>
      <c r="K9" s="11"/>
      <c r="L9" s="129"/>
      <c r="M9" s="19" t="str">
        <f>IF(K9&gt;0,(K9*VLOOKUP(Lookups!$K$11,Lookups!$M$10:$P$40,4,0)/VLOOKUP(L9,Lookups!$M$10:$P$40,4,0)),"")</f>
        <v/>
      </c>
      <c r="N9" s="11"/>
      <c r="O9" s="129"/>
      <c r="P9" s="19" t="str">
        <f>IF(N9&gt;0,(N9*VLOOKUP(Lookups!$K$11,Lookups!$M$10:$P$40,4,0)/VLOOKUP(O9,Lookups!$M$10:$P$40,4,0)),"")</f>
        <v/>
      </c>
      <c r="Q9" s="77" t="s">
        <v>947</v>
      </c>
      <c r="R9" s="17" t="s">
        <v>621</v>
      </c>
      <c r="S9" s="4" t="s">
        <v>1738</v>
      </c>
      <c r="T9" s="13"/>
      <c r="U9" s="120" t="s">
        <v>2226</v>
      </c>
    </row>
    <row r="10" spans="1:21" s="40" customFormat="1" ht="60" hidden="1" customHeight="1" outlineLevel="1" x14ac:dyDescent="0.2">
      <c r="A10" s="54" t="s">
        <v>703</v>
      </c>
      <c r="B10" s="54" t="s">
        <v>1416</v>
      </c>
      <c r="C10" s="54" t="s">
        <v>1245</v>
      </c>
      <c r="D10" s="54" t="s">
        <v>1246</v>
      </c>
      <c r="E10" s="14" t="s">
        <v>634</v>
      </c>
      <c r="F10" s="4" t="s">
        <v>679</v>
      </c>
      <c r="G10" s="4" t="s">
        <v>1347</v>
      </c>
      <c r="H10" s="11">
        <v>27850</v>
      </c>
      <c r="I10" s="129" t="s">
        <v>664</v>
      </c>
      <c r="J10" s="19">
        <f>IF(H10&gt;0,(H10*VLOOKUP(Lookups!$K$11,Lookups!$M$10:$P$40,4,0)/VLOOKUP(I10,Lookups!$M$10:$P$40,4,0)),"")</f>
        <v>30336.560071684919</v>
      </c>
      <c r="K10" s="11"/>
      <c r="L10" s="129"/>
      <c r="M10" s="19" t="str">
        <f>IF(K10&gt;0,(K10*VLOOKUP(Lookups!$K$11,Lookups!$M$10:$P$40,4,0)/VLOOKUP(L10,Lookups!$M$10:$P$40,4,0)),"")</f>
        <v/>
      </c>
      <c r="N10" s="11"/>
      <c r="O10" s="129"/>
      <c r="P10" s="19" t="str">
        <f>IF(N10&gt;0,(N10*VLOOKUP(Lookups!$K$11,Lookups!$M$10:$P$40,4,0)/VLOOKUP(O10,Lookups!$M$10:$P$40,4,0)),"")</f>
        <v/>
      </c>
      <c r="Q10" s="77" t="s">
        <v>947</v>
      </c>
      <c r="R10" s="17" t="s">
        <v>621</v>
      </c>
      <c r="S10" s="53" t="s">
        <v>1247</v>
      </c>
      <c r="T10" s="13"/>
      <c r="U10" s="120" t="s">
        <v>2226</v>
      </c>
    </row>
    <row r="11" spans="1:21" s="40" customFormat="1" ht="60" hidden="1" customHeight="1" outlineLevel="2" x14ac:dyDescent="0.2">
      <c r="A11" s="4" t="s">
        <v>703</v>
      </c>
      <c r="B11" s="4" t="s">
        <v>1416</v>
      </c>
      <c r="C11" s="4" t="s">
        <v>1248</v>
      </c>
      <c r="D11" s="55" t="s">
        <v>1249</v>
      </c>
      <c r="E11" s="14" t="s">
        <v>634</v>
      </c>
      <c r="F11" s="4" t="s">
        <v>679</v>
      </c>
      <c r="G11" s="4" t="s">
        <v>1347</v>
      </c>
      <c r="H11" s="11">
        <v>274</v>
      </c>
      <c r="I11" s="129" t="s">
        <v>664</v>
      </c>
      <c r="J11" s="19">
        <f>IF(H11&gt;0,(H11*VLOOKUP(Lookups!$K$11,Lookups!$M$10:$P$40,4,0)/VLOOKUP(I11,Lookups!$M$10:$P$40,4,0)),"")</f>
        <v>298.46382260831842</v>
      </c>
      <c r="K11" s="11"/>
      <c r="L11" s="129"/>
      <c r="M11" s="19" t="str">
        <f>IF(K11&gt;0,(K11*VLOOKUP(Lookups!$K$11,Lookups!$M$10:$P$40,4,0)/VLOOKUP(L11,Lookups!$M$10:$P$40,4,0)),"")</f>
        <v/>
      </c>
      <c r="N11" s="11"/>
      <c r="O11" s="129"/>
      <c r="P11" s="19" t="str">
        <f>IF(N11&gt;0,(N11*VLOOKUP(Lookups!$K$11,Lookups!$M$10:$P$40,4,0)/VLOOKUP(O11,Lookups!$M$10:$P$40,4,0)),"")</f>
        <v/>
      </c>
      <c r="Q11" s="77" t="s">
        <v>947</v>
      </c>
      <c r="R11" s="17" t="s">
        <v>621</v>
      </c>
      <c r="S11" s="4" t="s">
        <v>1250</v>
      </c>
      <c r="T11" s="13"/>
      <c r="U11" s="120" t="s">
        <v>2226</v>
      </c>
    </row>
    <row r="12" spans="1:21" s="40" customFormat="1" ht="60" hidden="1" customHeight="1" outlineLevel="2" x14ac:dyDescent="0.2">
      <c r="A12" s="4" t="s">
        <v>703</v>
      </c>
      <c r="B12" s="4" t="s">
        <v>1416</v>
      </c>
      <c r="C12" s="4" t="s">
        <v>1251</v>
      </c>
      <c r="D12" s="55" t="s">
        <v>1252</v>
      </c>
      <c r="E12" s="14" t="s">
        <v>634</v>
      </c>
      <c r="F12" s="4" t="s">
        <v>679</v>
      </c>
      <c r="G12" s="4" t="s">
        <v>1347</v>
      </c>
      <c r="H12" s="11">
        <v>26067</v>
      </c>
      <c r="I12" s="129" t="s">
        <v>664</v>
      </c>
      <c r="J12" s="19">
        <f>IF(H12&gt;0,(H12*VLOOKUP(Lookups!$K$11,Lookups!$M$10:$P$40,4,0)/VLOOKUP(I12,Lookups!$M$10:$P$40,4,0)),"")</f>
        <v>28394.366656682618</v>
      </c>
      <c r="K12" s="11"/>
      <c r="L12" s="129"/>
      <c r="M12" s="19" t="str">
        <f>IF(K12&gt;0,(K12*VLOOKUP(Lookups!$K$11,Lookups!$M$10:$P$40,4,0)/VLOOKUP(L12,Lookups!$M$10:$P$40,4,0)),"")</f>
        <v/>
      </c>
      <c r="N12" s="11"/>
      <c r="O12" s="129"/>
      <c r="P12" s="19" t="str">
        <f>IF(N12&gt;0,(N12*VLOOKUP(Lookups!$K$11,Lookups!$M$10:$P$40,4,0)/VLOOKUP(O12,Lookups!$M$10:$P$40,4,0)),"")</f>
        <v/>
      </c>
      <c r="Q12" s="77" t="s">
        <v>947</v>
      </c>
      <c r="R12" s="17" t="s">
        <v>621</v>
      </c>
      <c r="S12" s="4" t="s">
        <v>1253</v>
      </c>
      <c r="T12" s="13"/>
      <c r="U12" s="120" t="s">
        <v>2226</v>
      </c>
    </row>
    <row r="13" spans="1:21" s="40" customFormat="1" ht="60" hidden="1" customHeight="1" outlineLevel="2" x14ac:dyDescent="0.2">
      <c r="A13" s="4" t="s">
        <v>703</v>
      </c>
      <c r="B13" s="4" t="s">
        <v>1416</v>
      </c>
      <c r="C13" s="4" t="s">
        <v>1254</v>
      </c>
      <c r="D13" s="55" t="s">
        <v>1255</v>
      </c>
      <c r="E13" s="14" t="s">
        <v>634</v>
      </c>
      <c r="F13" s="4" t="s">
        <v>679</v>
      </c>
      <c r="G13" s="4" t="s">
        <v>1347</v>
      </c>
      <c r="H13" s="11">
        <v>932</v>
      </c>
      <c r="I13" s="129" t="s">
        <v>664</v>
      </c>
      <c r="J13" s="19">
        <f>IF(H13&gt;0,(H13*VLOOKUP(Lookups!$K$11,Lookups!$M$10:$P$40,4,0)/VLOOKUP(I13,Lookups!$M$10:$P$40,4,0)),"")</f>
        <v>1015.2127104779299</v>
      </c>
      <c r="K13" s="11"/>
      <c r="L13" s="129"/>
      <c r="M13" s="19" t="str">
        <f>IF(K13&gt;0,(K13*VLOOKUP(Lookups!$K$11,Lookups!$M$10:$P$40,4,0)/VLOOKUP(L13,Lookups!$M$10:$P$40,4,0)),"")</f>
        <v/>
      </c>
      <c r="N13" s="11"/>
      <c r="O13" s="129"/>
      <c r="P13" s="19" t="str">
        <f>IF(N13&gt;0,(N13*VLOOKUP(Lookups!$K$11,Lookups!$M$10:$P$40,4,0)/VLOOKUP(O13,Lookups!$M$10:$P$40,4,0)),"")</f>
        <v/>
      </c>
      <c r="Q13" s="77" t="s">
        <v>947</v>
      </c>
      <c r="R13" s="17" t="s">
        <v>621</v>
      </c>
      <c r="S13" s="4" t="s">
        <v>1256</v>
      </c>
      <c r="T13" s="13"/>
      <c r="U13" s="120" t="s">
        <v>2226</v>
      </c>
    </row>
    <row r="14" spans="1:21" s="40" customFormat="1" ht="60" hidden="1" customHeight="1" outlineLevel="2" x14ac:dyDescent="0.2">
      <c r="A14" s="4" t="s">
        <v>703</v>
      </c>
      <c r="B14" s="4" t="s">
        <v>1416</v>
      </c>
      <c r="C14" s="4" t="s">
        <v>1257</v>
      </c>
      <c r="D14" s="55" t="s">
        <v>841</v>
      </c>
      <c r="E14" s="14" t="s">
        <v>634</v>
      </c>
      <c r="F14" s="4" t="s">
        <v>679</v>
      </c>
      <c r="G14" s="4" t="s">
        <v>1347</v>
      </c>
      <c r="H14" s="11">
        <v>343</v>
      </c>
      <c r="I14" s="129" t="s">
        <v>664</v>
      </c>
      <c r="J14" s="19">
        <f>IF(H14&gt;0,(H14*VLOOKUP(Lookups!$K$11,Lookups!$M$10:$P$40,4,0)/VLOOKUP(I14,Lookups!$M$10:$P$40,4,0)),"")</f>
        <v>373.62442027245703</v>
      </c>
      <c r="K14" s="11"/>
      <c r="L14" s="129"/>
      <c r="M14" s="19" t="str">
        <f>IF(K14&gt;0,(K14*VLOOKUP(Lookups!$K$11,Lookups!$M$10:$P$40,4,0)/VLOOKUP(L14,Lookups!$M$10:$P$40,4,0)),"")</f>
        <v/>
      </c>
      <c r="N14" s="11"/>
      <c r="O14" s="129"/>
      <c r="P14" s="19" t="str">
        <f>IF(N14&gt;0,(N14*VLOOKUP(Lookups!$K$11,Lookups!$M$10:$P$40,4,0)/VLOOKUP(O14,Lookups!$M$10:$P$40,4,0)),"")</f>
        <v/>
      </c>
      <c r="Q14" s="77" t="s">
        <v>947</v>
      </c>
      <c r="R14" s="17" t="s">
        <v>621</v>
      </c>
      <c r="S14" s="4" t="s">
        <v>842</v>
      </c>
      <c r="T14" s="13"/>
      <c r="U14" s="120" t="s">
        <v>2226</v>
      </c>
    </row>
    <row r="15" spans="1:21" s="40" customFormat="1" ht="60" hidden="1" customHeight="1" outlineLevel="2" x14ac:dyDescent="0.2">
      <c r="A15" s="4" t="s">
        <v>703</v>
      </c>
      <c r="B15" s="4" t="s">
        <v>1416</v>
      </c>
      <c r="C15" s="4" t="s">
        <v>843</v>
      </c>
      <c r="D15" s="55" t="s">
        <v>844</v>
      </c>
      <c r="E15" s="14" t="s">
        <v>637</v>
      </c>
      <c r="F15" s="4" t="s">
        <v>679</v>
      </c>
      <c r="G15" s="4" t="s">
        <v>1347</v>
      </c>
      <c r="H15" s="11">
        <v>234</v>
      </c>
      <c r="I15" s="129" t="s">
        <v>664</v>
      </c>
      <c r="J15" s="19">
        <f>IF(H15&gt;0,(H15*VLOOKUP(Lookups!$K$11,Lookups!$M$10:$P$40,4,0)/VLOOKUP(I15,Lookups!$M$10:$P$40,4,0)),"")</f>
        <v>254.8924616436004</v>
      </c>
      <c r="K15" s="11"/>
      <c r="L15" s="129"/>
      <c r="M15" s="19" t="str">
        <f>IF(K15&gt;0,(K15*VLOOKUP(Lookups!$K$11,Lookups!$M$10:$P$40,4,0)/VLOOKUP(L15,Lookups!$M$10:$P$40,4,0)),"")</f>
        <v/>
      </c>
      <c r="N15" s="11"/>
      <c r="O15" s="129"/>
      <c r="P15" s="19" t="str">
        <f>IF(N15&gt;0,(N15*VLOOKUP(Lookups!$K$11,Lookups!$M$10:$P$40,4,0)/VLOOKUP(O15,Lookups!$M$10:$P$40,4,0)),"")</f>
        <v/>
      </c>
      <c r="Q15" s="77" t="s">
        <v>947</v>
      </c>
      <c r="R15" s="17" t="s">
        <v>621</v>
      </c>
      <c r="S15" s="4" t="s">
        <v>845</v>
      </c>
      <c r="T15" s="13"/>
      <c r="U15" s="120" t="s">
        <v>2226</v>
      </c>
    </row>
    <row r="16" spans="1:21" s="40" customFormat="1" ht="60" hidden="1" customHeight="1" outlineLevel="1" x14ac:dyDescent="0.2">
      <c r="A16" s="54" t="s">
        <v>703</v>
      </c>
      <c r="B16" s="54" t="s">
        <v>1416</v>
      </c>
      <c r="C16" s="54" t="s">
        <v>846</v>
      </c>
      <c r="D16" s="54" t="s">
        <v>847</v>
      </c>
      <c r="E16" s="14" t="s">
        <v>634</v>
      </c>
      <c r="F16" s="4" t="s">
        <v>679</v>
      </c>
      <c r="G16" s="4" t="s">
        <v>1347</v>
      </c>
      <c r="H16" s="11">
        <v>196024</v>
      </c>
      <c r="I16" s="129" t="s">
        <v>664</v>
      </c>
      <c r="J16" s="19">
        <f>IF(H16&gt;0,(H16*VLOOKUP(Lookups!$K$11,Lookups!$M$10:$P$40,4,0)/VLOOKUP(I16,Lookups!$M$10:$P$40,4,0)),"")</f>
        <v>213525.81154369711</v>
      </c>
      <c r="K16" s="11"/>
      <c r="L16" s="129"/>
      <c r="M16" s="19" t="str">
        <f>IF(K16&gt;0,(K16*VLOOKUP(Lookups!$K$11,Lookups!$M$10:$P$40,4,0)/VLOOKUP(L16,Lookups!$M$10:$P$40,4,0)),"")</f>
        <v/>
      </c>
      <c r="N16" s="11"/>
      <c r="O16" s="129"/>
      <c r="P16" s="19" t="str">
        <f>IF(N16&gt;0,(N16*VLOOKUP(Lookups!$K$11,Lookups!$M$10:$P$40,4,0)/VLOOKUP(O16,Lookups!$M$10:$P$40,4,0)),"")</f>
        <v/>
      </c>
      <c r="Q16" s="77" t="s">
        <v>947</v>
      </c>
      <c r="R16" s="17" t="s">
        <v>621</v>
      </c>
      <c r="S16" s="4" t="s">
        <v>476</v>
      </c>
      <c r="T16" s="13"/>
      <c r="U16" s="120" t="s">
        <v>2226</v>
      </c>
    </row>
    <row r="17" spans="1:21" s="40" customFormat="1" ht="60" hidden="1" customHeight="1" outlineLevel="2" x14ac:dyDescent="0.2">
      <c r="A17" s="4" t="s">
        <v>703</v>
      </c>
      <c r="B17" s="4" t="s">
        <v>1416</v>
      </c>
      <c r="C17" s="4" t="s">
        <v>848</v>
      </c>
      <c r="D17" s="55" t="s">
        <v>849</v>
      </c>
      <c r="E17" s="14" t="s">
        <v>634</v>
      </c>
      <c r="F17" s="4" t="s">
        <v>679</v>
      </c>
      <c r="G17" s="4" t="s">
        <v>1347</v>
      </c>
      <c r="H17" s="11">
        <v>274</v>
      </c>
      <c r="I17" s="129" t="s">
        <v>664</v>
      </c>
      <c r="J17" s="19">
        <f>IF(H17&gt;0,(H17*VLOOKUP(Lookups!$K$11,Lookups!$M$10:$P$40,4,0)/VLOOKUP(I17,Lookups!$M$10:$P$40,4,0)),"")</f>
        <v>298.46382260831842</v>
      </c>
      <c r="K17" s="11"/>
      <c r="L17" s="129"/>
      <c r="M17" s="19" t="str">
        <f>IF(K17&gt;0,(K17*VLOOKUP(Lookups!$K$11,Lookups!$M$10:$P$40,4,0)/VLOOKUP(L17,Lookups!$M$10:$P$40,4,0)),"")</f>
        <v/>
      </c>
      <c r="N17" s="11"/>
      <c r="O17" s="129"/>
      <c r="P17" s="19" t="str">
        <f>IF(N17&gt;0,(N17*VLOOKUP(Lookups!$K$11,Lookups!$M$10:$P$40,4,0)/VLOOKUP(O17,Lookups!$M$10:$P$40,4,0)),"")</f>
        <v/>
      </c>
      <c r="Q17" s="77" t="s">
        <v>947</v>
      </c>
      <c r="R17" s="17" t="s">
        <v>621</v>
      </c>
      <c r="S17" s="4" t="s">
        <v>741</v>
      </c>
      <c r="T17" s="13"/>
      <c r="U17" s="120" t="s">
        <v>2226</v>
      </c>
    </row>
    <row r="18" spans="1:21" s="40" customFormat="1" ht="60" hidden="1" customHeight="1" outlineLevel="2" x14ac:dyDescent="0.2">
      <c r="A18" s="4" t="s">
        <v>703</v>
      </c>
      <c r="B18" s="4" t="s">
        <v>1416</v>
      </c>
      <c r="C18" s="4" t="s">
        <v>850</v>
      </c>
      <c r="D18" s="55" t="s">
        <v>851</v>
      </c>
      <c r="E18" s="14" t="s">
        <v>634</v>
      </c>
      <c r="F18" s="4" t="s">
        <v>679</v>
      </c>
      <c r="G18" s="4" t="s">
        <v>1347</v>
      </c>
      <c r="H18" s="11">
        <v>188850</v>
      </c>
      <c r="I18" s="129" t="s">
        <v>664</v>
      </c>
      <c r="J18" s="19">
        <f>IF(H18&gt;0,(H18*VLOOKUP(Lookups!$K$11,Lookups!$M$10:$P$40,4,0)/VLOOKUP(I18,Lookups!$M$10:$P$40,4,0)),"")</f>
        <v>205711.28795467492</v>
      </c>
      <c r="K18" s="11"/>
      <c r="L18" s="129"/>
      <c r="M18" s="19" t="str">
        <f>IF(K18&gt;0,(K18*VLOOKUP(Lookups!$K$11,Lookups!$M$10:$P$40,4,0)/VLOOKUP(L18,Lookups!$M$10:$P$40,4,0)),"")</f>
        <v/>
      </c>
      <c r="N18" s="11"/>
      <c r="O18" s="129"/>
      <c r="P18" s="19" t="str">
        <f>IF(N18&gt;0,(N18*VLOOKUP(Lookups!$K$11,Lookups!$M$10:$P$40,4,0)/VLOOKUP(O18,Lookups!$M$10:$P$40,4,0)),"")</f>
        <v/>
      </c>
      <c r="Q18" s="77" t="s">
        <v>947</v>
      </c>
      <c r="R18" s="17" t="s">
        <v>621</v>
      </c>
      <c r="S18" s="4" t="s">
        <v>1072</v>
      </c>
      <c r="T18" s="13"/>
      <c r="U18" s="120" t="s">
        <v>2226</v>
      </c>
    </row>
    <row r="19" spans="1:21" s="40" customFormat="1" ht="60" hidden="1" customHeight="1" outlineLevel="2" x14ac:dyDescent="0.2">
      <c r="A19" s="4" t="s">
        <v>703</v>
      </c>
      <c r="B19" s="4" t="s">
        <v>1416</v>
      </c>
      <c r="C19" s="4" t="s">
        <v>852</v>
      </c>
      <c r="D19" s="55" t="s">
        <v>853</v>
      </c>
      <c r="E19" s="14" t="s">
        <v>634</v>
      </c>
      <c r="F19" s="4" t="s">
        <v>679</v>
      </c>
      <c r="G19" s="4" t="s">
        <v>1347</v>
      </c>
      <c r="H19" s="11">
        <v>981</v>
      </c>
      <c r="I19" s="129" t="s">
        <v>664</v>
      </c>
      <c r="J19" s="19">
        <f>IF(H19&gt;0,(H19*VLOOKUP(Lookups!$K$11,Lookups!$M$10:$P$40,4,0)/VLOOKUP(I19,Lookups!$M$10:$P$40,4,0)),"")</f>
        <v>1068.5876276597094</v>
      </c>
      <c r="K19" s="11"/>
      <c r="L19" s="129"/>
      <c r="M19" s="19" t="str">
        <f>IF(K19&gt;0,(K19*VLOOKUP(Lookups!$K$11,Lookups!$M$10:$P$40,4,0)/VLOOKUP(L19,Lookups!$M$10:$P$40,4,0)),"")</f>
        <v/>
      </c>
      <c r="N19" s="11"/>
      <c r="O19" s="129"/>
      <c r="P19" s="19" t="str">
        <f>IF(N19&gt;0,(N19*VLOOKUP(Lookups!$K$11,Lookups!$M$10:$P$40,4,0)/VLOOKUP(O19,Lookups!$M$10:$P$40,4,0)),"")</f>
        <v/>
      </c>
      <c r="Q19" s="77" t="s">
        <v>947</v>
      </c>
      <c r="R19" s="17" t="s">
        <v>621</v>
      </c>
      <c r="S19" s="4" t="s">
        <v>742</v>
      </c>
      <c r="T19" s="13"/>
      <c r="U19" s="120" t="s">
        <v>2226</v>
      </c>
    </row>
    <row r="20" spans="1:21" s="40" customFormat="1" ht="60" hidden="1" customHeight="1" outlineLevel="2" x14ac:dyDescent="0.2">
      <c r="A20" s="4" t="s">
        <v>703</v>
      </c>
      <c r="B20" s="4" t="s">
        <v>1416</v>
      </c>
      <c r="C20" s="4" t="s">
        <v>1297</v>
      </c>
      <c r="D20" s="55" t="s">
        <v>1298</v>
      </c>
      <c r="E20" s="14" t="s">
        <v>634</v>
      </c>
      <c r="F20" s="4" t="s">
        <v>679</v>
      </c>
      <c r="G20" s="4" t="s">
        <v>1347</v>
      </c>
      <c r="H20" s="11">
        <v>5919</v>
      </c>
      <c r="I20" s="129" t="s">
        <v>664</v>
      </c>
      <c r="J20" s="19">
        <f>IF(H20&gt;0,(H20*VLOOKUP(Lookups!$K$11,Lookups!$M$10:$P$40,4,0)/VLOOKUP(I20,Lookups!$M$10:$P$40,4,0)),"")</f>
        <v>6447.4721387541485</v>
      </c>
      <c r="K20" s="11"/>
      <c r="L20" s="129"/>
      <c r="M20" s="19" t="str">
        <f>IF(K20&gt;0,(K20*VLOOKUP(Lookups!$K$11,Lookups!$M$10:$P$40,4,0)/VLOOKUP(L20,Lookups!$M$10:$P$40,4,0)),"")</f>
        <v/>
      </c>
      <c r="N20" s="11"/>
      <c r="O20" s="129"/>
      <c r="P20" s="19" t="str">
        <f>IF(N20&gt;0,(N20*VLOOKUP(Lookups!$K$11,Lookups!$M$10:$P$40,4,0)/VLOOKUP(O20,Lookups!$M$10:$P$40,4,0)),"")</f>
        <v/>
      </c>
      <c r="Q20" s="77" t="s">
        <v>947</v>
      </c>
      <c r="R20" s="17" t="s">
        <v>621</v>
      </c>
      <c r="S20" s="4" t="s">
        <v>743</v>
      </c>
      <c r="T20" s="13"/>
      <c r="U20" s="120" t="s">
        <v>2226</v>
      </c>
    </row>
    <row r="21" spans="1:21" s="40" customFormat="1" ht="60" hidden="1" customHeight="1" outlineLevel="2" x14ac:dyDescent="0.2">
      <c r="A21" s="4" t="s">
        <v>703</v>
      </c>
      <c r="B21" s="4" t="s">
        <v>1416</v>
      </c>
      <c r="C21" s="4" t="s">
        <v>1299</v>
      </c>
      <c r="D21" s="55" t="s">
        <v>1300</v>
      </c>
      <c r="E21" s="14" t="s">
        <v>637</v>
      </c>
      <c r="F21" s="4" t="s">
        <v>679</v>
      </c>
      <c r="G21" s="4" t="s">
        <v>1347</v>
      </c>
      <c r="H21" s="11">
        <v>301</v>
      </c>
      <c r="I21" s="129" t="s">
        <v>664</v>
      </c>
      <c r="J21" s="19">
        <f>IF(H21&gt;0,(H21*VLOOKUP(Lookups!$K$11,Lookups!$M$10:$P$40,4,0)/VLOOKUP(I21,Lookups!$M$10:$P$40,4,0)),"")</f>
        <v>327.87449125950309</v>
      </c>
      <c r="K21" s="11"/>
      <c r="L21" s="129"/>
      <c r="M21" s="19" t="str">
        <f>IF(K21&gt;0,(K21*VLOOKUP(Lookups!$K$11,Lookups!$M$10:$P$40,4,0)/VLOOKUP(L21,Lookups!$M$10:$P$40,4,0)),"")</f>
        <v/>
      </c>
      <c r="N21" s="11"/>
      <c r="O21" s="129"/>
      <c r="P21" s="19" t="str">
        <f>IF(N21&gt;0,(N21*VLOOKUP(Lookups!$K$11,Lookups!$M$10:$P$40,4,0)/VLOOKUP(O21,Lookups!$M$10:$P$40,4,0)),"")</f>
        <v/>
      </c>
      <c r="Q21" s="77" t="s">
        <v>947</v>
      </c>
      <c r="R21" s="17" t="s">
        <v>621</v>
      </c>
      <c r="S21" s="4" t="s">
        <v>477</v>
      </c>
      <c r="T21" s="13"/>
      <c r="U21" s="120" t="s">
        <v>2226</v>
      </c>
    </row>
    <row r="22" spans="1:21" s="58" customFormat="1" ht="60" hidden="1" customHeight="1" outlineLevel="1" x14ac:dyDescent="0.2">
      <c r="A22" s="54" t="s">
        <v>703</v>
      </c>
      <c r="B22" s="54" t="s">
        <v>1416</v>
      </c>
      <c r="C22" s="54" t="s">
        <v>1301</v>
      </c>
      <c r="D22" s="54" t="s">
        <v>1302</v>
      </c>
      <c r="E22" s="14" t="s">
        <v>634</v>
      </c>
      <c r="F22" s="4" t="s">
        <v>679</v>
      </c>
      <c r="G22" s="4" t="s">
        <v>1347</v>
      </c>
      <c r="H22" s="56">
        <v>317127</v>
      </c>
      <c r="I22" s="129" t="s">
        <v>664</v>
      </c>
      <c r="J22" s="19">
        <f>IF(H22&gt;0,(H22*VLOOKUP(Lookups!$K$11,Lookups!$M$10:$P$40,4,0)/VLOOKUP(I22,Lookups!$M$10:$P$40,4,0)),"")</f>
        <v>345441.37471645325</v>
      </c>
      <c r="K22" s="56"/>
      <c r="L22" s="129"/>
      <c r="M22" s="19" t="str">
        <f>IF(K22&gt;0,(K22*VLOOKUP(Lookups!$K$11,Lookups!$M$10:$P$40,4,0)/VLOOKUP(L22,Lookups!$M$10:$P$40,4,0)),"")</f>
        <v/>
      </c>
      <c r="N22" s="56"/>
      <c r="O22" s="129"/>
      <c r="P22" s="19" t="str">
        <f>IF(N22&gt;0,(N22*VLOOKUP(Lookups!$K$11,Lookups!$M$10:$P$40,4,0)/VLOOKUP(O22,Lookups!$M$10:$P$40,4,0)),"")</f>
        <v/>
      </c>
      <c r="Q22" s="77" t="s">
        <v>947</v>
      </c>
      <c r="R22" s="17" t="s">
        <v>621</v>
      </c>
      <c r="S22" s="4" t="s">
        <v>563</v>
      </c>
      <c r="T22" s="4"/>
      <c r="U22" s="120" t="s">
        <v>2226</v>
      </c>
    </row>
    <row r="23" spans="1:21" s="58" customFormat="1" ht="60" hidden="1" customHeight="1" outlineLevel="2" x14ac:dyDescent="0.2">
      <c r="A23" s="4" t="s">
        <v>703</v>
      </c>
      <c r="B23" s="4" t="s">
        <v>1416</v>
      </c>
      <c r="C23" s="4" t="s">
        <v>564</v>
      </c>
      <c r="D23" s="55" t="s">
        <v>565</v>
      </c>
      <c r="E23" s="14" t="s">
        <v>634</v>
      </c>
      <c r="F23" s="4" t="s">
        <v>679</v>
      </c>
      <c r="G23" s="4" t="s">
        <v>1347</v>
      </c>
      <c r="H23" s="56">
        <v>138</v>
      </c>
      <c r="I23" s="129" t="s">
        <v>664</v>
      </c>
      <c r="J23" s="19">
        <f>IF(H23&gt;0,(H23*VLOOKUP(Lookups!$K$11,Lookups!$M$10:$P$40,4,0)/VLOOKUP(I23,Lookups!$M$10:$P$40,4,0)),"")</f>
        <v>150.32119532827716</v>
      </c>
      <c r="K23" s="56"/>
      <c r="L23" s="129"/>
      <c r="M23" s="19" t="str">
        <f>IF(K23&gt;0,(K23*VLOOKUP(Lookups!$K$11,Lookups!$M$10:$P$40,4,0)/VLOOKUP(L23,Lookups!$M$10:$P$40,4,0)),"")</f>
        <v/>
      </c>
      <c r="N23" s="56"/>
      <c r="O23" s="129"/>
      <c r="P23" s="19" t="str">
        <f>IF(N23&gt;0,(N23*VLOOKUP(Lookups!$K$11,Lookups!$M$10:$P$40,4,0)/VLOOKUP(O23,Lookups!$M$10:$P$40,4,0)),"")</f>
        <v/>
      </c>
      <c r="Q23" s="77" t="s">
        <v>947</v>
      </c>
      <c r="R23" s="17" t="s">
        <v>621</v>
      </c>
      <c r="S23" s="4" t="s">
        <v>566</v>
      </c>
      <c r="T23" s="4"/>
      <c r="U23" s="120" t="s">
        <v>2226</v>
      </c>
    </row>
    <row r="24" spans="1:21" s="58" customFormat="1" ht="60" hidden="1" customHeight="1" outlineLevel="2" x14ac:dyDescent="0.2">
      <c r="A24" s="4" t="s">
        <v>703</v>
      </c>
      <c r="B24" s="4" t="s">
        <v>1416</v>
      </c>
      <c r="C24" s="4" t="s">
        <v>567</v>
      </c>
      <c r="D24" s="55" t="s">
        <v>568</v>
      </c>
      <c r="E24" s="14" t="s">
        <v>634</v>
      </c>
      <c r="F24" s="4" t="s">
        <v>679</v>
      </c>
      <c r="G24" s="4" t="s">
        <v>1347</v>
      </c>
      <c r="H24" s="56">
        <v>306458</v>
      </c>
      <c r="I24" s="129" t="s">
        <v>664</v>
      </c>
      <c r="J24" s="19">
        <f>IF(H24&gt;0,(H24*VLOOKUP(Lookups!$K$11,Lookups!$M$10:$P$40,4,0)/VLOOKUP(I24,Lookups!$M$10:$P$40,4,0)),"")</f>
        <v>333819.80346313887</v>
      </c>
      <c r="K24" s="56"/>
      <c r="L24" s="129"/>
      <c r="M24" s="19" t="str">
        <f>IF(K24&gt;0,(K24*VLOOKUP(Lookups!$K$11,Lookups!$M$10:$P$40,4,0)/VLOOKUP(L24,Lookups!$M$10:$P$40,4,0)),"")</f>
        <v/>
      </c>
      <c r="N24" s="56"/>
      <c r="O24" s="129"/>
      <c r="P24" s="19" t="str">
        <f>IF(N24&gt;0,(N24*VLOOKUP(Lookups!$K$11,Lookups!$M$10:$P$40,4,0)/VLOOKUP(O24,Lookups!$M$10:$P$40,4,0)),"")</f>
        <v/>
      </c>
      <c r="Q24" s="77" t="s">
        <v>947</v>
      </c>
      <c r="R24" s="17" t="s">
        <v>621</v>
      </c>
      <c r="S24" s="4" t="s">
        <v>949</v>
      </c>
      <c r="T24" s="4"/>
      <c r="U24" s="120" t="s">
        <v>2226</v>
      </c>
    </row>
    <row r="25" spans="1:21" s="58" customFormat="1" ht="60" hidden="1" customHeight="1" outlineLevel="2" x14ac:dyDescent="0.2">
      <c r="A25" s="4" t="s">
        <v>703</v>
      </c>
      <c r="B25" s="4" t="s">
        <v>1416</v>
      </c>
      <c r="C25" s="4" t="s">
        <v>950</v>
      </c>
      <c r="D25" s="55" t="s">
        <v>951</v>
      </c>
      <c r="E25" s="14" t="s">
        <v>634</v>
      </c>
      <c r="F25" s="4" t="s">
        <v>679</v>
      </c>
      <c r="G25" s="4" t="s">
        <v>1347</v>
      </c>
      <c r="H25" s="56">
        <v>1862</v>
      </c>
      <c r="I25" s="129" t="s">
        <v>664</v>
      </c>
      <c r="J25" s="19">
        <f>IF(H25&gt;0,(H25*VLOOKUP(Lookups!$K$11,Lookups!$M$10:$P$40,4,0)/VLOOKUP(I25,Lookups!$M$10:$P$40,4,0)),"")</f>
        <v>2028.2468529076236</v>
      </c>
      <c r="K25" s="56"/>
      <c r="L25" s="129"/>
      <c r="M25" s="19" t="str">
        <f>IF(K25&gt;0,(K25*VLOOKUP(Lookups!$K$11,Lookups!$M$10:$P$40,4,0)/VLOOKUP(L25,Lookups!$M$10:$P$40,4,0)),"")</f>
        <v/>
      </c>
      <c r="N25" s="56"/>
      <c r="O25" s="129"/>
      <c r="P25" s="19" t="str">
        <f>IF(N25&gt;0,(N25*VLOOKUP(Lookups!$K$11,Lookups!$M$10:$P$40,4,0)/VLOOKUP(O25,Lookups!$M$10:$P$40,4,0)),"")</f>
        <v/>
      </c>
      <c r="Q25" s="77" t="s">
        <v>947</v>
      </c>
      <c r="R25" s="17" t="s">
        <v>621</v>
      </c>
      <c r="S25" s="4" t="s">
        <v>952</v>
      </c>
      <c r="T25" s="4"/>
      <c r="U25" s="120" t="s">
        <v>2226</v>
      </c>
    </row>
    <row r="26" spans="1:21" s="58" customFormat="1" ht="60" hidden="1" customHeight="1" outlineLevel="2" x14ac:dyDescent="0.2">
      <c r="A26" s="4" t="s">
        <v>703</v>
      </c>
      <c r="B26" s="4" t="s">
        <v>1416</v>
      </c>
      <c r="C26" s="4" t="s">
        <v>953</v>
      </c>
      <c r="D26" s="55" t="s">
        <v>954</v>
      </c>
      <c r="E26" s="14" t="s">
        <v>634</v>
      </c>
      <c r="F26" s="4" t="s">
        <v>679</v>
      </c>
      <c r="G26" s="4" t="s">
        <v>1347</v>
      </c>
      <c r="H26" s="56">
        <v>7159</v>
      </c>
      <c r="I26" s="129" t="s">
        <v>664</v>
      </c>
      <c r="J26" s="19">
        <f>IF(H26&gt;0,(H26*VLOOKUP(Lookups!$K$11,Lookups!$M$10:$P$40,4,0)/VLOOKUP(I26,Lookups!$M$10:$P$40,4,0)),"")</f>
        <v>7798.184328660408</v>
      </c>
      <c r="K26" s="56"/>
      <c r="L26" s="129"/>
      <c r="M26" s="19" t="str">
        <f>IF(K26&gt;0,(K26*VLOOKUP(Lookups!$K$11,Lookups!$M$10:$P$40,4,0)/VLOOKUP(L26,Lookups!$M$10:$P$40,4,0)),"")</f>
        <v/>
      </c>
      <c r="N26" s="56"/>
      <c r="O26" s="129"/>
      <c r="P26" s="19" t="str">
        <f>IF(N26&gt;0,(N26*VLOOKUP(Lookups!$K$11,Lookups!$M$10:$P$40,4,0)/VLOOKUP(O26,Lookups!$M$10:$P$40,4,0)),"")</f>
        <v/>
      </c>
      <c r="Q26" s="77" t="s">
        <v>947</v>
      </c>
      <c r="R26" s="17" t="s">
        <v>621</v>
      </c>
      <c r="S26" s="4" t="s">
        <v>955</v>
      </c>
      <c r="T26" s="4"/>
      <c r="U26" s="120" t="s">
        <v>2226</v>
      </c>
    </row>
    <row r="27" spans="1:21" s="58" customFormat="1" ht="60" hidden="1" customHeight="1" outlineLevel="2" x14ac:dyDescent="0.2">
      <c r="A27" s="4" t="s">
        <v>703</v>
      </c>
      <c r="B27" s="4" t="s">
        <v>1416</v>
      </c>
      <c r="C27" s="4" t="s">
        <v>956</v>
      </c>
      <c r="D27" s="55" t="s">
        <v>957</v>
      </c>
      <c r="E27" s="14" t="s">
        <v>634</v>
      </c>
      <c r="F27" s="4" t="s">
        <v>679</v>
      </c>
      <c r="G27" s="4" t="s">
        <v>1347</v>
      </c>
      <c r="H27" s="56">
        <v>182</v>
      </c>
      <c r="I27" s="129" t="s">
        <v>664</v>
      </c>
      <c r="J27" s="19">
        <f>IF(H27&gt;0,(H27*VLOOKUP(Lookups!$K$11,Lookups!$M$10:$P$40,4,0)/VLOOKUP(I27,Lookups!$M$10:$P$40,4,0)),"")</f>
        <v>198.24969238946699</v>
      </c>
      <c r="K27" s="56"/>
      <c r="L27" s="129"/>
      <c r="M27" s="19" t="str">
        <f>IF(K27&gt;0,(K27*VLOOKUP(Lookups!$K$11,Lookups!$M$10:$P$40,4,0)/VLOOKUP(L27,Lookups!$M$10:$P$40,4,0)),"")</f>
        <v/>
      </c>
      <c r="N27" s="56"/>
      <c r="O27" s="129"/>
      <c r="P27" s="19" t="str">
        <f>IF(N27&gt;0,(N27*VLOOKUP(Lookups!$K$11,Lookups!$M$10:$P$40,4,0)/VLOOKUP(O27,Lookups!$M$10:$P$40,4,0)),"")</f>
        <v/>
      </c>
      <c r="Q27" s="77" t="s">
        <v>947</v>
      </c>
      <c r="R27" s="17" t="s">
        <v>621</v>
      </c>
      <c r="S27" s="4" t="s">
        <v>854</v>
      </c>
      <c r="T27" s="4"/>
      <c r="U27" s="120" t="s">
        <v>2226</v>
      </c>
    </row>
    <row r="28" spans="1:21" s="58" customFormat="1" ht="60" hidden="1" customHeight="1" outlineLevel="2" x14ac:dyDescent="0.2">
      <c r="A28" s="4" t="s">
        <v>703</v>
      </c>
      <c r="B28" s="4" t="s">
        <v>1416</v>
      </c>
      <c r="C28" s="4" t="s">
        <v>855</v>
      </c>
      <c r="D28" s="55" t="s">
        <v>856</v>
      </c>
      <c r="E28" s="14" t="s">
        <v>637</v>
      </c>
      <c r="F28" s="4" t="s">
        <v>679</v>
      </c>
      <c r="G28" s="4" t="s">
        <v>1347</v>
      </c>
      <c r="H28" s="56">
        <v>1328</v>
      </c>
      <c r="I28" s="129" t="s">
        <v>664</v>
      </c>
      <c r="J28" s="19">
        <f>IF(H28&gt;0,(H28*VLOOKUP(Lookups!$K$11,Lookups!$M$10:$P$40,4,0)/VLOOKUP(I28,Lookups!$M$10:$P$40,4,0)),"")</f>
        <v>1446.5691840286383</v>
      </c>
      <c r="K28" s="56"/>
      <c r="L28" s="129"/>
      <c r="M28" s="19" t="str">
        <f>IF(K28&gt;0,(K28*VLOOKUP(Lookups!$K$11,Lookups!$M$10:$P$40,4,0)/VLOOKUP(L28,Lookups!$M$10:$P$40,4,0)),"")</f>
        <v/>
      </c>
      <c r="N28" s="56"/>
      <c r="O28" s="129"/>
      <c r="P28" s="19" t="str">
        <f>IF(N28&gt;0,(N28*VLOOKUP(Lookups!$K$11,Lookups!$M$10:$P$40,4,0)/VLOOKUP(O28,Lookups!$M$10:$P$40,4,0)),"")</f>
        <v/>
      </c>
      <c r="Q28" s="77" t="s">
        <v>947</v>
      </c>
      <c r="R28" s="17" t="s">
        <v>621</v>
      </c>
      <c r="S28" s="4" t="s">
        <v>1764</v>
      </c>
      <c r="T28" s="4"/>
      <c r="U28" s="120" t="s">
        <v>2226</v>
      </c>
    </row>
    <row r="29" spans="1:21" s="40" customFormat="1" ht="60" customHeight="1" collapsed="1" x14ac:dyDescent="0.2">
      <c r="A29" s="52" t="s">
        <v>703</v>
      </c>
      <c r="B29" s="52" t="s">
        <v>1416</v>
      </c>
      <c r="C29" s="52" t="s">
        <v>1765</v>
      </c>
      <c r="D29" s="52" t="s">
        <v>1766</v>
      </c>
      <c r="E29" s="14" t="s">
        <v>631</v>
      </c>
      <c r="F29" s="4" t="s">
        <v>679</v>
      </c>
      <c r="G29" s="4" t="s">
        <v>1347</v>
      </c>
      <c r="H29" s="11">
        <v>700</v>
      </c>
      <c r="I29" s="129" t="s">
        <v>727</v>
      </c>
      <c r="J29" s="19">
        <f>IF(H29&gt;0,(H29*VLOOKUP(Lookups!$K$11,Lookups!$M$10:$P$40,4,0)/VLOOKUP(I29,Lookups!$M$10:$P$40,4,0)),"")</f>
        <v>721.86659999999995</v>
      </c>
      <c r="K29" s="11"/>
      <c r="L29" s="129"/>
      <c r="M29" s="19" t="str">
        <f>IF(K29&gt;0,(K29*VLOOKUP(Lookups!$K$11,Lookups!$M$10:$P$40,4,0)/VLOOKUP(L29,Lookups!$M$10:$P$40,4,0)),"")</f>
        <v/>
      </c>
      <c r="N29" s="11"/>
      <c r="O29" s="129"/>
      <c r="P29" s="19" t="str">
        <f>IF(N29&gt;0,(N29*VLOOKUP(Lookups!$K$11,Lookups!$M$10:$P$40,4,0)/VLOOKUP(O29,Lookups!$M$10:$P$40,4,0)),"")</f>
        <v/>
      </c>
      <c r="Q29" s="16" t="s">
        <v>2228</v>
      </c>
      <c r="R29" s="17" t="s">
        <v>621</v>
      </c>
      <c r="S29" s="4" t="s">
        <v>2229</v>
      </c>
      <c r="T29" s="13" t="s">
        <v>1912</v>
      </c>
      <c r="U29" s="13" t="s">
        <v>2227</v>
      </c>
    </row>
    <row r="30" spans="1:21" s="40" customFormat="1" ht="60" hidden="1" customHeight="1" outlineLevel="2" x14ac:dyDescent="0.2">
      <c r="A30" s="4" t="s">
        <v>703</v>
      </c>
      <c r="B30" s="4" t="s">
        <v>1416</v>
      </c>
      <c r="C30" s="53" t="s">
        <v>1767</v>
      </c>
      <c r="D30" s="92" t="s">
        <v>2230</v>
      </c>
      <c r="E30" s="94" t="s">
        <v>631</v>
      </c>
      <c r="F30" s="93" t="s">
        <v>679</v>
      </c>
      <c r="G30" s="93" t="s">
        <v>1347</v>
      </c>
      <c r="H30" s="11">
        <v>468</v>
      </c>
      <c r="I30" s="129" t="s">
        <v>727</v>
      </c>
      <c r="J30" s="19">
        <f>IF(H30&gt;0,(H30*VLOOKUP(Lookups!$K$11,Lookups!$M$10:$P$40,4,0)/VLOOKUP(I30,Lookups!$M$10:$P$40,4,0)),"")</f>
        <v>482.61938399999991</v>
      </c>
      <c r="K30" s="11"/>
      <c r="L30" s="129"/>
      <c r="M30" s="19" t="str">
        <f>IF(K30&gt;0,(K30*VLOOKUP(Lookups!$K$11,Lookups!$M$10:$P$40,4,0)/VLOOKUP(L30,Lookups!$M$10:$P$40,4,0)),"")</f>
        <v/>
      </c>
      <c r="N30" s="11"/>
      <c r="O30" s="129"/>
      <c r="P30" s="19" t="str">
        <f>IF(N30&gt;0,(N30*VLOOKUP(Lookups!$K$11,Lookups!$M$10:$P$40,4,0)/VLOOKUP(O30,Lookups!$M$10:$P$40,4,0)),"")</f>
        <v/>
      </c>
      <c r="Q30" s="16" t="s">
        <v>2228</v>
      </c>
      <c r="R30" s="17" t="s">
        <v>621</v>
      </c>
      <c r="S30" s="59" t="s">
        <v>1723</v>
      </c>
      <c r="T30" s="13" t="s">
        <v>1912</v>
      </c>
      <c r="U30" s="13" t="s">
        <v>2227</v>
      </c>
    </row>
    <row r="31" spans="1:21" s="40" customFormat="1" ht="60" hidden="1" customHeight="1" outlineLevel="2" x14ac:dyDescent="0.2">
      <c r="A31" s="4" t="s">
        <v>703</v>
      </c>
      <c r="B31" s="4" t="s">
        <v>1416</v>
      </c>
      <c r="C31" s="53" t="s">
        <v>1768</v>
      </c>
      <c r="D31" s="92" t="s">
        <v>2231</v>
      </c>
      <c r="E31" s="94" t="s">
        <v>631</v>
      </c>
      <c r="F31" s="93" t="s">
        <v>679</v>
      </c>
      <c r="G31" s="93" t="s">
        <v>1347</v>
      </c>
      <c r="H31" s="11">
        <v>233</v>
      </c>
      <c r="I31" s="129" t="s">
        <v>727</v>
      </c>
      <c r="J31" s="19">
        <f>IF(H31&gt;0,(H31*VLOOKUP(Lookups!$K$11,Lookups!$M$10:$P$40,4,0)/VLOOKUP(I31,Lookups!$M$10:$P$40,4,0)),"")</f>
        <v>240.27845399999998</v>
      </c>
      <c r="K31" s="11"/>
      <c r="L31" s="129"/>
      <c r="M31" s="19" t="str">
        <f>IF(K31&gt;0,(K31*VLOOKUP(Lookups!$K$11,Lookups!$M$10:$P$40,4,0)/VLOOKUP(L31,Lookups!$M$10:$P$40,4,0)),"")</f>
        <v/>
      </c>
      <c r="N31" s="11"/>
      <c r="O31" s="129"/>
      <c r="P31" s="19" t="str">
        <f>IF(N31&gt;0,(N31*VLOOKUP(Lookups!$K$11,Lookups!$M$10:$P$40,4,0)/VLOOKUP(O31,Lookups!$M$10:$P$40,4,0)),"")</f>
        <v/>
      </c>
      <c r="Q31" s="16" t="s">
        <v>2228</v>
      </c>
      <c r="R31" s="17" t="s">
        <v>621</v>
      </c>
      <c r="S31" s="4" t="s">
        <v>1724</v>
      </c>
      <c r="T31" s="13" t="s">
        <v>1912</v>
      </c>
      <c r="U31" s="13" t="s">
        <v>2227</v>
      </c>
    </row>
    <row r="32" spans="1:21" s="51" customFormat="1" ht="60" hidden="1" customHeight="1" outlineLevel="1" collapsed="1" x14ac:dyDescent="0.2">
      <c r="A32" s="46" t="s">
        <v>703</v>
      </c>
      <c r="B32" s="54" t="s">
        <v>1416</v>
      </c>
      <c r="C32" s="54" t="s">
        <v>1769</v>
      </c>
      <c r="D32" s="54" t="s">
        <v>1770</v>
      </c>
      <c r="E32" s="14" t="s">
        <v>637</v>
      </c>
      <c r="F32" s="4" t="s">
        <v>679</v>
      </c>
      <c r="G32" s="4" t="s">
        <v>1347</v>
      </c>
      <c r="H32" s="11">
        <v>700</v>
      </c>
      <c r="I32" s="129" t="s">
        <v>663</v>
      </c>
      <c r="J32" s="19">
        <f>IF(H32&gt;0,(H32*VLOOKUP(Lookups!$K$11,Lookups!$M$10:$P$40,4,0)/VLOOKUP(I32,Lookups!$M$10:$P$40,4,0)),"")</f>
        <v>783.60478413387477</v>
      </c>
      <c r="K32" s="11"/>
      <c r="L32" s="129"/>
      <c r="M32" s="19" t="str">
        <f>IF(K32&gt;0,(K32*VLOOKUP(Lookups!$K$11,Lookups!$M$10:$P$40,4,0)/VLOOKUP(L32,Lookups!$M$10:$P$40,4,0)),"")</f>
        <v/>
      </c>
      <c r="N32" s="11"/>
      <c r="O32" s="129"/>
      <c r="P32" s="19" t="str">
        <f>IF(N32&gt;0,(N32*VLOOKUP(Lookups!$K$11,Lookups!$M$10:$P$40,4,0)/VLOOKUP(O32,Lookups!$M$10:$P$40,4,0)),"")</f>
        <v/>
      </c>
      <c r="Q32" s="77" t="s">
        <v>1412</v>
      </c>
      <c r="R32" s="17" t="s">
        <v>621</v>
      </c>
      <c r="S32" s="4" t="s">
        <v>1771</v>
      </c>
      <c r="T32" s="111"/>
      <c r="U32" s="111"/>
    </row>
    <row r="33" spans="1:21" s="51" customFormat="1" ht="60" hidden="1" customHeight="1" outlineLevel="1" x14ac:dyDescent="0.2">
      <c r="A33" s="46" t="s">
        <v>703</v>
      </c>
      <c r="B33" s="54" t="s">
        <v>1416</v>
      </c>
      <c r="C33" s="54" t="s">
        <v>1772</v>
      </c>
      <c r="D33" s="54" t="s">
        <v>1773</v>
      </c>
      <c r="E33" s="14" t="s">
        <v>637</v>
      </c>
      <c r="F33" s="4" t="s">
        <v>679</v>
      </c>
      <c r="G33" s="4" t="s">
        <v>1347</v>
      </c>
      <c r="H33" s="11">
        <v>131</v>
      </c>
      <c r="I33" s="129" t="s">
        <v>663</v>
      </c>
      <c r="J33" s="19">
        <f>IF(H33&gt;0,(H33*VLOOKUP(Lookups!$K$11,Lookups!$M$10:$P$40,4,0)/VLOOKUP(I33,Lookups!$M$10:$P$40,4,0)),"")</f>
        <v>146.64603817362513</v>
      </c>
      <c r="K33" s="11"/>
      <c r="L33" s="129"/>
      <c r="M33" s="19" t="str">
        <f>IF(K33&gt;0,(K33*VLOOKUP(Lookups!$K$11,Lookups!$M$10:$P$40,4,0)/VLOOKUP(L33,Lookups!$M$10:$P$40,4,0)),"")</f>
        <v/>
      </c>
      <c r="N33" s="11"/>
      <c r="O33" s="129"/>
      <c r="P33" s="19" t="str">
        <f>IF(N33&gt;0,(N33*VLOOKUP(Lookups!$K$11,Lookups!$M$10:$P$40,4,0)/VLOOKUP(O33,Lookups!$M$10:$P$40,4,0)),"")</f>
        <v/>
      </c>
      <c r="Q33" s="77" t="s">
        <v>1412</v>
      </c>
      <c r="R33" s="17" t="s">
        <v>621</v>
      </c>
      <c r="S33" s="4" t="s">
        <v>1774</v>
      </c>
      <c r="T33" s="111"/>
      <c r="U33" s="111"/>
    </row>
    <row r="34" spans="1:21" s="51" customFormat="1" ht="60" hidden="1" customHeight="1" outlineLevel="1" x14ac:dyDescent="0.2">
      <c r="A34" s="46" t="s">
        <v>703</v>
      </c>
      <c r="B34" s="54" t="s">
        <v>1416</v>
      </c>
      <c r="C34" s="54" t="s">
        <v>1775</v>
      </c>
      <c r="D34" s="54" t="s">
        <v>1520</v>
      </c>
      <c r="E34" s="14" t="s">
        <v>632</v>
      </c>
      <c r="F34" s="4" t="s">
        <v>679</v>
      </c>
      <c r="G34" s="4" t="s">
        <v>1347</v>
      </c>
      <c r="H34" s="11">
        <v>1846</v>
      </c>
      <c r="I34" s="129" t="s">
        <v>663</v>
      </c>
      <c r="J34" s="19">
        <f>IF(H34&gt;0,(H34*VLOOKUP(Lookups!$K$11,Lookups!$M$10:$P$40,4,0)/VLOOKUP(I34,Lookups!$M$10:$P$40,4,0)),"")</f>
        <v>2066.4777593016183</v>
      </c>
      <c r="K34" s="11"/>
      <c r="L34" s="129"/>
      <c r="M34" s="19" t="str">
        <f>IF(K34&gt;0,(K34*VLOOKUP(Lookups!$K$11,Lookups!$M$10:$P$40,4,0)/VLOOKUP(L34,Lookups!$M$10:$P$40,4,0)),"")</f>
        <v/>
      </c>
      <c r="N34" s="11"/>
      <c r="O34" s="129"/>
      <c r="P34" s="19" t="str">
        <f>IF(N34&gt;0,(N34*VLOOKUP(Lookups!$K$11,Lookups!$M$10:$P$40,4,0)/VLOOKUP(O34,Lookups!$M$10:$P$40,4,0)),"")</f>
        <v/>
      </c>
      <c r="Q34" s="77" t="s">
        <v>1412</v>
      </c>
      <c r="R34" s="17" t="s">
        <v>621</v>
      </c>
      <c r="S34" s="4" t="s">
        <v>1521</v>
      </c>
      <c r="T34" s="111"/>
      <c r="U34" s="111"/>
    </row>
    <row r="35" spans="1:21" s="51" customFormat="1" ht="60" hidden="1" customHeight="1" outlineLevel="1" x14ac:dyDescent="0.2">
      <c r="A35" s="46" t="s">
        <v>703</v>
      </c>
      <c r="B35" s="54" t="s">
        <v>1416</v>
      </c>
      <c r="C35" s="54" t="s">
        <v>1522</v>
      </c>
      <c r="D35" s="54" t="s">
        <v>1523</v>
      </c>
      <c r="E35" s="14" t="s">
        <v>637</v>
      </c>
      <c r="F35" s="4" t="s">
        <v>679</v>
      </c>
      <c r="G35" s="4" t="s">
        <v>1347</v>
      </c>
      <c r="H35" s="11">
        <v>288</v>
      </c>
      <c r="I35" s="129" t="s">
        <v>663</v>
      </c>
      <c r="J35" s="19">
        <f>IF(H35&gt;0,(H35*VLOOKUP(Lookups!$K$11,Lookups!$M$10:$P$40,4,0)/VLOOKUP(I35,Lookups!$M$10:$P$40,4,0)),"")</f>
        <v>322.39739690079415</v>
      </c>
      <c r="K35" s="11"/>
      <c r="L35" s="129"/>
      <c r="M35" s="19" t="str">
        <f>IF(K35&gt;0,(K35*VLOOKUP(Lookups!$K$11,Lookups!$M$10:$P$40,4,0)/VLOOKUP(L35,Lookups!$M$10:$P$40,4,0)),"")</f>
        <v/>
      </c>
      <c r="N35" s="11"/>
      <c r="O35" s="129"/>
      <c r="P35" s="19" t="str">
        <f>IF(N35&gt;0,(N35*VLOOKUP(Lookups!$K$11,Lookups!$M$10:$P$40,4,0)/VLOOKUP(O35,Lookups!$M$10:$P$40,4,0)),"")</f>
        <v/>
      </c>
      <c r="Q35" s="77" t="s">
        <v>1412</v>
      </c>
      <c r="R35" s="17" t="s">
        <v>621</v>
      </c>
      <c r="S35" s="4" t="s">
        <v>1771</v>
      </c>
      <c r="T35" s="111"/>
      <c r="U35" s="111"/>
    </row>
    <row r="36" spans="1:21" s="51" customFormat="1" ht="60" hidden="1" customHeight="1" outlineLevel="1" x14ac:dyDescent="0.2">
      <c r="A36" s="46" t="s">
        <v>703</v>
      </c>
      <c r="B36" s="54" t="s">
        <v>1416</v>
      </c>
      <c r="C36" s="54" t="s">
        <v>1524</v>
      </c>
      <c r="D36" s="54" t="s">
        <v>1525</v>
      </c>
      <c r="E36" s="14" t="s">
        <v>637</v>
      </c>
      <c r="F36" s="4" t="s">
        <v>679</v>
      </c>
      <c r="G36" s="4" t="s">
        <v>1347</v>
      </c>
      <c r="H36" s="11">
        <v>224</v>
      </c>
      <c r="I36" s="129" t="s">
        <v>663</v>
      </c>
      <c r="J36" s="19">
        <f>IF(H36&gt;0,(H36*VLOOKUP(Lookups!$K$11,Lookups!$M$10:$P$40,4,0)/VLOOKUP(I36,Lookups!$M$10:$P$40,4,0)),"")</f>
        <v>250.75353092283993</v>
      </c>
      <c r="K36" s="11"/>
      <c r="L36" s="129"/>
      <c r="M36" s="19" t="str">
        <f>IF(K36&gt;0,(K36*VLOOKUP(Lookups!$K$11,Lookups!$M$10:$P$40,4,0)/VLOOKUP(L36,Lookups!$M$10:$P$40,4,0)),"")</f>
        <v/>
      </c>
      <c r="N36" s="11"/>
      <c r="O36" s="129"/>
      <c r="P36" s="19" t="str">
        <f>IF(N36&gt;0,(N36*VLOOKUP(Lookups!$K$11,Lookups!$M$10:$P$40,4,0)/VLOOKUP(O36,Lookups!$M$10:$P$40,4,0)),"")</f>
        <v/>
      </c>
      <c r="Q36" s="77" t="s">
        <v>1412</v>
      </c>
      <c r="R36" s="17" t="s">
        <v>621</v>
      </c>
      <c r="S36" s="4" t="s">
        <v>1526</v>
      </c>
      <c r="T36" s="111"/>
      <c r="U36" s="111"/>
    </row>
    <row r="37" spans="1:21" s="51" customFormat="1" ht="60" hidden="1" customHeight="1" outlineLevel="1" x14ac:dyDescent="0.2">
      <c r="A37" s="46" t="s">
        <v>703</v>
      </c>
      <c r="B37" s="54" t="s">
        <v>1416</v>
      </c>
      <c r="C37" s="54" t="s">
        <v>1527</v>
      </c>
      <c r="D37" s="54" t="s">
        <v>1528</v>
      </c>
      <c r="E37" s="14" t="s">
        <v>637</v>
      </c>
      <c r="F37" s="4" t="s">
        <v>679</v>
      </c>
      <c r="G37" s="4" t="s">
        <v>1347</v>
      </c>
      <c r="H37" s="11">
        <v>446</v>
      </c>
      <c r="I37" s="129" t="s">
        <v>663</v>
      </c>
      <c r="J37" s="19">
        <f>IF(H37&gt;0,(H37*VLOOKUP(Lookups!$K$11,Lookups!$M$10:$P$40,4,0)/VLOOKUP(I37,Lookups!$M$10:$P$40,4,0)),"")</f>
        <v>499.26819103386873</v>
      </c>
      <c r="K37" s="11"/>
      <c r="L37" s="129"/>
      <c r="M37" s="19" t="str">
        <f>IF(K37&gt;0,(K37*VLOOKUP(Lookups!$K$11,Lookups!$M$10:$P$40,4,0)/VLOOKUP(L37,Lookups!$M$10:$P$40,4,0)),"")</f>
        <v/>
      </c>
      <c r="N37" s="11"/>
      <c r="O37" s="129"/>
      <c r="P37" s="19" t="str">
        <f>IF(N37&gt;0,(N37*VLOOKUP(Lookups!$K$11,Lookups!$M$10:$P$40,4,0)/VLOOKUP(O37,Lookups!$M$10:$P$40,4,0)),"")</f>
        <v/>
      </c>
      <c r="Q37" s="77" t="s">
        <v>1412</v>
      </c>
      <c r="R37" s="17" t="s">
        <v>621</v>
      </c>
      <c r="S37" s="4" t="s">
        <v>1529</v>
      </c>
      <c r="T37" s="111"/>
      <c r="U37" s="111"/>
    </row>
    <row r="38" spans="1:21" s="51" customFormat="1" ht="60" hidden="1" customHeight="1" outlineLevel="1" x14ac:dyDescent="0.2">
      <c r="A38" s="46" t="s">
        <v>703</v>
      </c>
      <c r="B38" s="54" t="s">
        <v>1416</v>
      </c>
      <c r="C38" s="54" t="s">
        <v>1530</v>
      </c>
      <c r="D38" s="54" t="s">
        <v>1531</v>
      </c>
      <c r="E38" s="14" t="s">
        <v>637</v>
      </c>
      <c r="F38" s="4" t="s">
        <v>679</v>
      </c>
      <c r="G38" s="4" t="s">
        <v>1347</v>
      </c>
      <c r="H38" s="11">
        <v>3026</v>
      </c>
      <c r="I38" s="129" t="s">
        <v>663</v>
      </c>
      <c r="J38" s="19">
        <f>IF(H38&gt;0,(H38*VLOOKUP(Lookups!$K$11,Lookups!$M$10:$P$40,4,0)/VLOOKUP(I38,Lookups!$M$10:$P$40,4,0)),"")</f>
        <v>3387.4115382701498</v>
      </c>
      <c r="K38" s="11"/>
      <c r="L38" s="129"/>
      <c r="M38" s="19" t="str">
        <f>IF(K38&gt;0,(K38*VLOOKUP(Lookups!$K$11,Lookups!$M$10:$P$40,4,0)/VLOOKUP(L38,Lookups!$M$10:$P$40,4,0)),"")</f>
        <v/>
      </c>
      <c r="N38" s="11"/>
      <c r="O38" s="129"/>
      <c r="P38" s="19" t="str">
        <f>IF(N38&gt;0,(N38*VLOOKUP(Lookups!$K$11,Lookups!$M$10:$P$40,4,0)/VLOOKUP(O38,Lookups!$M$10:$P$40,4,0)),"")</f>
        <v/>
      </c>
      <c r="Q38" s="77" t="s">
        <v>1412</v>
      </c>
      <c r="R38" s="17" t="s">
        <v>621</v>
      </c>
      <c r="S38" s="4" t="s">
        <v>1263</v>
      </c>
      <c r="T38" s="111"/>
      <c r="U38" s="111"/>
    </row>
    <row r="39" spans="1:21" s="51" customFormat="1" ht="60" hidden="1" customHeight="1" outlineLevel="1" x14ac:dyDescent="0.2">
      <c r="A39" s="46" t="s">
        <v>703</v>
      </c>
      <c r="B39" s="54" t="s">
        <v>1416</v>
      </c>
      <c r="C39" s="54" t="s">
        <v>1264</v>
      </c>
      <c r="D39" s="54" t="s">
        <v>1265</v>
      </c>
      <c r="E39" s="14" t="s">
        <v>637</v>
      </c>
      <c r="F39" s="4" t="s">
        <v>679</v>
      </c>
      <c r="G39" s="4" t="s">
        <v>1347</v>
      </c>
      <c r="H39" s="11">
        <v>1274</v>
      </c>
      <c r="I39" s="129" t="s">
        <v>663</v>
      </c>
      <c r="J39" s="19">
        <f>IF(H39&gt;0,(H39*VLOOKUP(Lookups!$K$11,Lookups!$M$10:$P$40,4,0)/VLOOKUP(I39,Lookups!$M$10:$P$40,4,0)),"")</f>
        <v>1426.1607071236519</v>
      </c>
      <c r="K39" s="11"/>
      <c r="L39" s="129"/>
      <c r="M39" s="19" t="str">
        <f>IF(K39&gt;0,(K39*VLOOKUP(Lookups!$K$11,Lookups!$M$10:$P$40,4,0)/VLOOKUP(L39,Lookups!$M$10:$P$40,4,0)),"")</f>
        <v/>
      </c>
      <c r="N39" s="11"/>
      <c r="O39" s="129"/>
      <c r="P39" s="19" t="str">
        <f>IF(N39&gt;0,(N39*VLOOKUP(Lookups!$K$11,Lookups!$M$10:$P$40,4,0)/VLOOKUP(O39,Lookups!$M$10:$P$40,4,0)),"")</f>
        <v/>
      </c>
      <c r="Q39" s="77" t="s">
        <v>1412</v>
      </c>
      <c r="R39" s="17" t="s">
        <v>621</v>
      </c>
      <c r="S39" s="4" t="s">
        <v>1771</v>
      </c>
      <c r="T39" s="111"/>
      <c r="U39" s="111"/>
    </row>
    <row r="40" spans="1:21" s="51" customFormat="1" ht="60" hidden="1" customHeight="1" outlineLevel="1" x14ac:dyDescent="0.2">
      <c r="A40" s="46" t="s">
        <v>703</v>
      </c>
      <c r="B40" s="54" t="s">
        <v>1416</v>
      </c>
      <c r="C40" s="54" t="s">
        <v>1266</v>
      </c>
      <c r="D40" s="46" t="s">
        <v>1267</v>
      </c>
      <c r="E40" s="13" t="s">
        <v>620</v>
      </c>
      <c r="F40" s="13" t="s">
        <v>679</v>
      </c>
      <c r="G40" s="37" t="s">
        <v>1347</v>
      </c>
      <c r="H40" s="15">
        <v>44.06</v>
      </c>
      <c r="I40" s="129" t="s">
        <v>662</v>
      </c>
      <c r="J40" s="19">
        <f>IF(H40&gt;0,(H40*VLOOKUP(Lookups!$K$11,Lookups!$M$10:$P$40,4,0)/VLOOKUP(I40,Lookups!$M$10:$P$40,4,0)),"")</f>
        <v>50.597306059189393</v>
      </c>
      <c r="K40" s="15"/>
      <c r="L40" s="129"/>
      <c r="M40" s="19" t="str">
        <f>IF(K40&gt;0,(K40*VLOOKUP(Lookups!$K$11,Lookups!$M$10:$P$40,4,0)/VLOOKUP(L40,Lookups!$M$10:$P$40,4,0)),"")</f>
        <v/>
      </c>
      <c r="N40" s="15"/>
      <c r="O40" s="129"/>
      <c r="P40" s="19" t="str">
        <f>IF(N40&gt;0,(N40*VLOOKUP(Lookups!$K$11,Lookups!$M$10:$P$40,4,0)/VLOOKUP(O40,Lookups!$M$10:$P$40,4,0)),"")</f>
        <v/>
      </c>
      <c r="Q40" s="91" t="s">
        <v>1268</v>
      </c>
      <c r="R40" s="17" t="s">
        <v>621</v>
      </c>
      <c r="S40" s="13"/>
      <c r="T40" s="111"/>
      <c r="U40" s="111"/>
    </row>
    <row r="41" spans="1:21" s="40" customFormat="1" ht="60" customHeight="1" collapsed="1" x14ac:dyDescent="0.2">
      <c r="A41" s="52" t="s">
        <v>703</v>
      </c>
      <c r="B41" s="52" t="s">
        <v>1416</v>
      </c>
      <c r="C41" s="52" t="s">
        <v>1269</v>
      </c>
      <c r="D41" s="52" t="s">
        <v>1725</v>
      </c>
      <c r="E41" s="14" t="s">
        <v>631</v>
      </c>
      <c r="F41" s="4" t="s">
        <v>679</v>
      </c>
      <c r="G41" s="4" t="s">
        <v>1347</v>
      </c>
      <c r="H41" s="11">
        <v>2995</v>
      </c>
      <c r="I41" s="129" t="s">
        <v>727</v>
      </c>
      <c r="J41" s="19">
        <f>IF(H41&gt;0,(H41*VLOOKUP(Lookups!$K$11,Lookups!$M$10:$P$40,4,0)/VLOOKUP(I41,Lookups!$M$10:$P$40,4,0)),"")</f>
        <v>3088.5578099999998</v>
      </c>
      <c r="K41" s="11"/>
      <c r="L41" s="129"/>
      <c r="M41" s="19" t="str">
        <f>IF(K41&gt;0,(K41*VLOOKUP(Lookups!$K$11,Lookups!$M$10:$P$40,4,0)/VLOOKUP(L41,Lookups!$M$10:$P$40,4,0)),"")</f>
        <v/>
      </c>
      <c r="N41" s="11"/>
      <c r="O41" s="129"/>
      <c r="P41" s="19" t="str">
        <f>IF(N41&gt;0,(N41*VLOOKUP(Lookups!$K$11,Lookups!$M$10:$P$40,4,0)/VLOOKUP(O41,Lookups!$M$10:$P$40,4,0)),"")</f>
        <v/>
      </c>
      <c r="Q41" s="77" t="s">
        <v>2232</v>
      </c>
      <c r="R41" s="17" t="s">
        <v>621</v>
      </c>
      <c r="S41" s="59" t="s">
        <v>2233</v>
      </c>
      <c r="T41" s="13" t="s">
        <v>1912</v>
      </c>
      <c r="U41" s="13" t="s">
        <v>2227</v>
      </c>
    </row>
    <row r="42" spans="1:21" s="40" customFormat="1" ht="60" hidden="1" customHeight="1" outlineLevel="1" x14ac:dyDescent="0.2">
      <c r="A42" s="54" t="s">
        <v>703</v>
      </c>
      <c r="B42" s="54" t="s">
        <v>1416</v>
      </c>
      <c r="C42" s="54" t="s">
        <v>1270</v>
      </c>
      <c r="D42" s="54" t="s">
        <v>2234</v>
      </c>
      <c r="E42" s="14" t="s">
        <v>631</v>
      </c>
      <c r="F42" s="4" t="s">
        <v>679</v>
      </c>
      <c r="G42" s="4" t="s">
        <v>1347</v>
      </c>
      <c r="H42" s="11">
        <v>2947</v>
      </c>
      <c r="I42" s="129" t="s">
        <v>727</v>
      </c>
      <c r="J42" s="19">
        <f>IF(H42&gt;0,(H42*VLOOKUP(Lookups!$K$11,Lookups!$M$10:$P$40,4,0)/VLOOKUP(I42,Lookups!$M$10:$P$40,4,0)),"")</f>
        <v>3039.0583859999997</v>
      </c>
      <c r="K42" s="11"/>
      <c r="L42" s="129"/>
      <c r="M42" s="19" t="str">
        <f>IF(K42&gt;0,(K42*VLOOKUP(Lookups!$K$11,Lookups!$M$10:$P$40,4,0)/VLOOKUP(L42,Lookups!$M$10:$P$40,4,0)),"")</f>
        <v/>
      </c>
      <c r="N42" s="11"/>
      <c r="O42" s="129"/>
      <c r="P42" s="19" t="str">
        <f>IF(N42&gt;0,(N42*VLOOKUP(Lookups!$K$11,Lookups!$M$10:$P$40,4,0)/VLOOKUP(O42,Lookups!$M$10:$P$40,4,0)),"")</f>
        <v/>
      </c>
      <c r="Q42" s="77" t="s">
        <v>2235</v>
      </c>
      <c r="R42" s="17" t="s">
        <v>621</v>
      </c>
      <c r="S42" s="59" t="s">
        <v>2236</v>
      </c>
      <c r="T42" s="13" t="s">
        <v>1912</v>
      </c>
      <c r="U42" s="13" t="s">
        <v>2227</v>
      </c>
    </row>
    <row r="43" spans="1:21" s="58" customFormat="1" ht="60" customHeight="1" collapsed="1" x14ac:dyDescent="0.2">
      <c r="A43" s="43" t="s">
        <v>703</v>
      </c>
      <c r="B43" s="43" t="s">
        <v>1415</v>
      </c>
      <c r="C43" s="42" t="s">
        <v>1271</v>
      </c>
      <c r="D43" s="43" t="s">
        <v>1272</v>
      </c>
      <c r="E43" s="14" t="s">
        <v>615</v>
      </c>
      <c r="F43" s="4" t="s">
        <v>679</v>
      </c>
      <c r="G43" s="37" t="s">
        <v>1273</v>
      </c>
      <c r="H43" s="11">
        <v>900</v>
      </c>
      <c r="I43" s="129" t="s">
        <v>658</v>
      </c>
      <c r="J43" s="19">
        <f>IF(H43&gt;0,(H43*VLOOKUP(Lookups!$K$11,Lookups!$M$10:$P$40,4,0)/VLOOKUP(I43,Lookups!$M$10:$P$40,4,0)),"")</f>
        <v>1151.3343533628026</v>
      </c>
      <c r="K43" s="11"/>
      <c r="L43" s="129"/>
      <c r="M43" s="19" t="str">
        <f>IF(K43&gt;0,(K43*VLOOKUP(Lookups!$K$11,Lookups!$M$10:$P$40,4,0)/VLOOKUP(L43,Lookups!$M$10:$P$40,4,0)),"")</f>
        <v/>
      </c>
      <c r="N43" s="11"/>
      <c r="O43" s="129"/>
      <c r="P43" s="19" t="str">
        <f>IF(N43&gt;0,(N43*VLOOKUP(Lookups!$K$11,Lookups!$M$10:$P$40,4,0)/VLOOKUP(O43,Lookups!$M$10:$P$40,4,0)),"")</f>
        <v/>
      </c>
      <c r="Q43" s="91" t="s">
        <v>1274</v>
      </c>
      <c r="R43" s="17" t="s">
        <v>619</v>
      </c>
      <c r="S43" s="53" t="s">
        <v>2430</v>
      </c>
      <c r="T43" s="4" t="s">
        <v>1912</v>
      </c>
      <c r="U43" s="110" t="s">
        <v>2547</v>
      </c>
    </row>
    <row r="44" spans="1:21" s="58" customFormat="1" ht="60" hidden="1" customHeight="1" outlineLevel="2" x14ac:dyDescent="0.2">
      <c r="A44" s="4" t="s">
        <v>703</v>
      </c>
      <c r="B44" s="4" t="s">
        <v>1415</v>
      </c>
      <c r="C44" s="13" t="s">
        <v>1275</v>
      </c>
      <c r="D44" s="55" t="s">
        <v>1276</v>
      </c>
      <c r="E44" s="14" t="s">
        <v>615</v>
      </c>
      <c r="F44" s="4" t="s">
        <v>679</v>
      </c>
      <c r="G44" s="37" t="s">
        <v>1347</v>
      </c>
      <c r="H44" s="11">
        <v>760</v>
      </c>
      <c r="I44" s="129" t="s">
        <v>658</v>
      </c>
      <c r="J44" s="19">
        <f>IF(H44&gt;0,(H44*VLOOKUP(Lookups!$K$11,Lookups!$M$10:$P$40,4,0)/VLOOKUP(I44,Lookups!$M$10:$P$40,4,0)),"")</f>
        <v>972.23789839525557</v>
      </c>
      <c r="K44" s="11"/>
      <c r="L44" s="129"/>
      <c r="M44" s="19" t="str">
        <f>IF(K44&gt;0,(K44*VLOOKUP(Lookups!$K$11,Lookups!$M$10:$P$40,4,0)/VLOOKUP(L44,Lookups!$M$10:$P$40,4,0)),"")</f>
        <v/>
      </c>
      <c r="N44" s="11"/>
      <c r="O44" s="129"/>
      <c r="P44" s="19" t="str">
        <f>IF(N44&gt;0,(N44*VLOOKUP(Lookups!$K$11,Lookups!$M$10:$P$40,4,0)/VLOOKUP(O44,Lookups!$M$10:$P$40,4,0)),"")</f>
        <v/>
      </c>
      <c r="Q44" s="91" t="s">
        <v>1274</v>
      </c>
      <c r="R44" s="17" t="s">
        <v>619</v>
      </c>
      <c r="S44" s="53" t="s">
        <v>2431</v>
      </c>
      <c r="T44" s="4" t="s">
        <v>1912</v>
      </c>
      <c r="U44" s="110" t="s">
        <v>2547</v>
      </c>
    </row>
    <row r="45" spans="1:21" s="58" customFormat="1" ht="60" hidden="1" customHeight="1" outlineLevel="2" x14ac:dyDescent="0.2">
      <c r="A45" s="4" t="s">
        <v>703</v>
      </c>
      <c r="B45" s="4" t="s">
        <v>1415</v>
      </c>
      <c r="C45" s="13" t="s">
        <v>1277</v>
      </c>
      <c r="D45" s="55" t="s">
        <v>1278</v>
      </c>
      <c r="E45" s="14" t="s">
        <v>615</v>
      </c>
      <c r="F45" s="4" t="s">
        <v>712</v>
      </c>
      <c r="G45" s="37"/>
      <c r="H45" s="11">
        <v>140</v>
      </c>
      <c r="I45" s="129" t="s">
        <v>658</v>
      </c>
      <c r="J45" s="19">
        <f>IF(H45&gt;0,(H45*VLOOKUP(Lookups!$K$11,Lookups!$M$10:$P$40,4,0)/VLOOKUP(I45,Lookups!$M$10:$P$40,4,0)),"")</f>
        <v>179.09645496754706</v>
      </c>
      <c r="K45" s="11"/>
      <c r="L45" s="129"/>
      <c r="M45" s="19" t="str">
        <f>IF(K45&gt;0,(K45*VLOOKUP(Lookups!$K$11,Lookups!$M$10:$P$40,4,0)/VLOOKUP(L45,Lookups!$M$10:$P$40,4,0)),"")</f>
        <v/>
      </c>
      <c r="N45" s="11"/>
      <c r="O45" s="129"/>
      <c r="P45" s="19" t="str">
        <f>IF(N45&gt;0,(N45*VLOOKUP(Lookups!$K$11,Lookups!$M$10:$P$40,4,0)/VLOOKUP(O45,Lookups!$M$10:$P$40,4,0)),"")</f>
        <v/>
      </c>
      <c r="Q45" s="91" t="s">
        <v>1274</v>
      </c>
      <c r="R45" s="17" t="s">
        <v>619</v>
      </c>
      <c r="S45" s="53" t="s">
        <v>2432</v>
      </c>
      <c r="T45" s="4" t="s">
        <v>1912</v>
      </c>
      <c r="U45" s="110" t="s">
        <v>2547</v>
      </c>
    </row>
    <row r="46" spans="1:21" s="58" customFormat="1" ht="60" hidden="1" customHeight="1" outlineLevel="1" x14ac:dyDescent="0.2">
      <c r="A46" s="54" t="s">
        <v>703</v>
      </c>
      <c r="B46" s="54" t="s">
        <v>1415</v>
      </c>
      <c r="C46" s="46" t="s">
        <v>1279</v>
      </c>
      <c r="D46" s="54" t="s">
        <v>1280</v>
      </c>
      <c r="E46" s="14" t="s">
        <v>615</v>
      </c>
      <c r="F46" s="4" t="s">
        <v>614</v>
      </c>
      <c r="G46" s="37"/>
      <c r="H46" s="11">
        <v>25000</v>
      </c>
      <c r="I46" s="129" t="s">
        <v>659</v>
      </c>
      <c r="J46" s="19">
        <f>IF(H46&gt;0,(H46*VLOOKUP(Lookups!$K$11,Lookups!$M$10:$P$40,4,0)/VLOOKUP(I46,Lookups!$M$10:$P$40,4,0)),"")</f>
        <v>31112.233997736643</v>
      </c>
      <c r="K46" s="11"/>
      <c r="L46" s="129"/>
      <c r="M46" s="19" t="str">
        <f>IF(K46&gt;0,(K46*VLOOKUP(Lookups!$K$11,Lookups!$M$10:$P$40,4,0)/VLOOKUP(L46,Lookups!$M$10:$P$40,4,0)),"")</f>
        <v/>
      </c>
      <c r="N46" s="11"/>
      <c r="O46" s="129"/>
      <c r="P46" s="19" t="str">
        <f>IF(N46&gt;0,(N46*VLOOKUP(Lookups!$K$11,Lookups!$M$10:$P$40,4,0)/VLOOKUP(O46,Lookups!$M$10:$P$40,4,0)),"")</f>
        <v/>
      </c>
      <c r="Q46" s="78" t="s">
        <v>1281</v>
      </c>
      <c r="R46" s="17" t="s">
        <v>619</v>
      </c>
      <c r="S46" s="4" t="s">
        <v>1282</v>
      </c>
      <c r="T46" s="4"/>
      <c r="U46" s="110"/>
    </row>
    <row r="47" spans="1:21" s="58" customFormat="1" ht="60" hidden="1" customHeight="1" outlineLevel="2" x14ac:dyDescent="0.2">
      <c r="A47" s="4" t="s">
        <v>703</v>
      </c>
      <c r="B47" s="4" t="s">
        <v>1415</v>
      </c>
      <c r="C47" s="13" t="s">
        <v>1283</v>
      </c>
      <c r="D47" s="55" t="s">
        <v>1284</v>
      </c>
      <c r="E47" s="14" t="s">
        <v>615</v>
      </c>
      <c r="F47" s="4" t="s">
        <v>614</v>
      </c>
      <c r="G47" s="37" t="s">
        <v>1418</v>
      </c>
      <c r="H47" s="11">
        <v>15000</v>
      </c>
      <c r="I47" s="129" t="s">
        <v>659</v>
      </c>
      <c r="J47" s="19">
        <f>IF(H47&gt;0,(H47*VLOOKUP(Lookups!$K$11,Lookups!$M$10:$P$40,4,0)/VLOOKUP(I47,Lookups!$M$10:$P$40,4,0)),"")</f>
        <v>18667.340398641987</v>
      </c>
      <c r="K47" s="11"/>
      <c r="L47" s="129"/>
      <c r="M47" s="19" t="str">
        <f>IF(K47&gt;0,(K47*VLOOKUP(Lookups!$K$11,Lookups!$M$10:$P$40,4,0)/VLOOKUP(L47,Lookups!$M$10:$P$40,4,0)),"")</f>
        <v/>
      </c>
      <c r="N47" s="11"/>
      <c r="O47" s="129"/>
      <c r="P47" s="19" t="str">
        <f>IF(N47&gt;0,(N47*VLOOKUP(Lookups!$K$11,Lookups!$M$10:$P$40,4,0)/VLOOKUP(O47,Lookups!$M$10:$P$40,4,0)),"")</f>
        <v/>
      </c>
      <c r="Q47" s="78" t="s">
        <v>1281</v>
      </c>
      <c r="R47" s="17" t="s">
        <v>619</v>
      </c>
      <c r="S47" s="4" t="s">
        <v>1285</v>
      </c>
      <c r="T47" s="4"/>
      <c r="U47" s="110"/>
    </row>
    <row r="48" spans="1:21" s="58" customFormat="1" ht="60" hidden="1" customHeight="1" outlineLevel="2" x14ac:dyDescent="0.2">
      <c r="A48" s="4" t="s">
        <v>703</v>
      </c>
      <c r="B48" s="4" t="s">
        <v>1415</v>
      </c>
      <c r="C48" s="13" t="s">
        <v>1286</v>
      </c>
      <c r="D48" s="55" t="s">
        <v>1287</v>
      </c>
      <c r="E48" s="14" t="s">
        <v>615</v>
      </c>
      <c r="F48" s="4" t="s">
        <v>679</v>
      </c>
      <c r="G48" s="37" t="s">
        <v>1347</v>
      </c>
      <c r="H48" s="11">
        <v>6250</v>
      </c>
      <c r="I48" s="129" t="s">
        <v>659</v>
      </c>
      <c r="J48" s="19">
        <f>IF(H48&gt;0,(H48*VLOOKUP(Lookups!$K$11,Lookups!$M$10:$P$40,4,0)/VLOOKUP(I48,Lookups!$M$10:$P$40,4,0)),"")</f>
        <v>7778.0584994341607</v>
      </c>
      <c r="K48" s="11"/>
      <c r="L48" s="129"/>
      <c r="M48" s="19" t="str">
        <f>IF(K48&gt;0,(K48*VLOOKUP(Lookups!$K$11,Lookups!$M$10:$P$40,4,0)/VLOOKUP(L48,Lookups!$M$10:$P$40,4,0)),"")</f>
        <v/>
      </c>
      <c r="N48" s="11"/>
      <c r="O48" s="129"/>
      <c r="P48" s="19" t="str">
        <f>IF(N48&gt;0,(N48*VLOOKUP(Lookups!$K$11,Lookups!$M$10:$P$40,4,0)/VLOOKUP(O48,Lookups!$M$10:$P$40,4,0)),"")</f>
        <v/>
      </c>
      <c r="Q48" s="78" t="s">
        <v>1281</v>
      </c>
      <c r="R48" s="17" t="s">
        <v>619</v>
      </c>
      <c r="S48" s="4" t="s">
        <v>1288</v>
      </c>
      <c r="T48" s="4"/>
      <c r="U48" s="110"/>
    </row>
    <row r="49" spans="1:21" s="58" customFormat="1" ht="60" hidden="1" customHeight="1" outlineLevel="2" x14ac:dyDescent="0.2">
      <c r="A49" s="4" t="s">
        <v>703</v>
      </c>
      <c r="B49" s="4" t="s">
        <v>1415</v>
      </c>
      <c r="C49" s="13" t="s">
        <v>1289</v>
      </c>
      <c r="D49" s="55" t="s">
        <v>1290</v>
      </c>
      <c r="E49" s="14" t="s">
        <v>615</v>
      </c>
      <c r="F49" s="4" t="s">
        <v>614</v>
      </c>
      <c r="G49" s="37" t="s">
        <v>737</v>
      </c>
      <c r="H49" s="11">
        <v>1250</v>
      </c>
      <c r="I49" s="129" t="s">
        <v>659</v>
      </c>
      <c r="J49" s="19">
        <f>IF(H49&gt;0,(H49*VLOOKUP(Lookups!$K$11,Lookups!$M$10:$P$40,4,0)/VLOOKUP(I49,Lookups!$M$10:$P$40,4,0)),"")</f>
        <v>1555.6116998868322</v>
      </c>
      <c r="K49" s="11"/>
      <c r="L49" s="129"/>
      <c r="M49" s="19" t="str">
        <f>IF(K49&gt;0,(K49*VLOOKUP(Lookups!$K$11,Lookups!$M$10:$P$40,4,0)/VLOOKUP(L49,Lookups!$M$10:$P$40,4,0)),"")</f>
        <v/>
      </c>
      <c r="N49" s="11"/>
      <c r="O49" s="129"/>
      <c r="P49" s="19" t="str">
        <f>IF(N49&gt;0,(N49*VLOOKUP(Lookups!$K$11,Lookups!$M$10:$P$40,4,0)/VLOOKUP(O49,Lookups!$M$10:$P$40,4,0)),"")</f>
        <v/>
      </c>
      <c r="Q49" s="78" t="s">
        <v>1281</v>
      </c>
      <c r="R49" s="17" t="s">
        <v>619</v>
      </c>
      <c r="S49" s="4" t="s">
        <v>1291</v>
      </c>
      <c r="T49" s="4"/>
      <c r="U49" s="110"/>
    </row>
    <row r="50" spans="1:21" s="58" customFormat="1" ht="60" hidden="1" customHeight="1" outlineLevel="2" x14ac:dyDescent="0.2">
      <c r="A50" s="4" t="s">
        <v>703</v>
      </c>
      <c r="B50" s="4" t="s">
        <v>1415</v>
      </c>
      <c r="C50" s="13" t="s">
        <v>1292</v>
      </c>
      <c r="D50" s="55" t="s">
        <v>1293</v>
      </c>
      <c r="E50" s="14" t="s">
        <v>615</v>
      </c>
      <c r="F50" s="4" t="s">
        <v>1420</v>
      </c>
      <c r="G50" s="37" t="s">
        <v>1417</v>
      </c>
      <c r="H50" s="11">
        <v>2500</v>
      </c>
      <c r="I50" s="129" t="s">
        <v>659</v>
      </c>
      <c r="J50" s="19">
        <f>IF(H50&gt;0,(H50*VLOOKUP(Lookups!$K$11,Lookups!$M$10:$P$40,4,0)/VLOOKUP(I50,Lookups!$M$10:$P$40,4,0)),"")</f>
        <v>3111.2233997736644</v>
      </c>
      <c r="K50" s="11"/>
      <c r="L50" s="129"/>
      <c r="M50" s="19" t="str">
        <f>IF(K50&gt;0,(K50*VLOOKUP(Lookups!$K$11,Lookups!$M$10:$P$40,4,0)/VLOOKUP(L50,Lookups!$M$10:$P$40,4,0)),"")</f>
        <v/>
      </c>
      <c r="N50" s="11"/>
      <c r="O50" s="129"/>
      <c r="P50" s="19" t="str">
        <f>IF(N50&gt;0,(N50*VLOOKUP(Lookups!$K$11,Lookups!$M$10:$P$40,4,0)/VLOOKUP(O50,Lookups!$M$10:$P$40,4,0)),"")</f>
        <v/>
      </c>
      <c r="Q50" s="78" t="s">
        <v>1281</v>
      </c>
      <c r="R50" s="17" t="s">
        <v>619</v>
      </c>
      <c r="S50" s="4" t="s">
        <v>1294</v>
      </c>
      <c r="T50" s="4"/>
      <c r="U50" s="110"/>
    </row>
    <row r="51" spans="1:21" s="51" customFormat="1" ht="60" customHeight="1" collapsed="1" x14ac:dyDescent="0.2">
      <c r="A51" s="44" t="s">
        <v>703</v>
      </c>
      <c r="B51" s="44" t="s">
        <v>1422</v>
      </c>
      <c r="C51" s="44" t="s">
        <v>1295</v>
      </c>
      <c r="D51" s="44" t="s">
        <v>2531</v>
      </c>
      <c r="E51" s="13" t="s">
        <v>1383</v>
      </c>
      <c r="F51" s="13" t="s">
        <v>679</v>
      </c>
      <c r="G51" s="37" t="s">
        <v>1347</v>
      </c>
      <c r="H51" s="50">
        <v>1416</v>
      </c>
      <c r="I51" s="129" t="s">
        <v>662</v>
      </c>
      <c r="J51" s="19">
        <f>IF(H51&gt;0,(H51*VLOOKUP(Lookups!$K$11,Lookups!$M$10:$P$40,4,0)/VLOOKUP(I51,Lookups!$M$10:$P$40,4,0)),"")</f>
        <v>1626.0959005858415</v>
      </c>
      <c r="K51" s="50"/>
      <c r="L51" s="129"/>
      <c r="M51" s="19" t="str">
        <f>IF(K51&gt;0,(K51*VLOOKUP(Lookups!$K$11,Lookups!$M$10:$P$40,4,0)/VLOOKUP(L51,Lookups!$M$10:$P$40,4,0)),"")</f>
        <v/>
      </c>
      <c r="N51" s="50"/>
      <c r="O51" s="129"/>
      <c r="P51" s="19" t="str">
        <f>IF(N51&gt;0,(N51*VLOOKUP(Lookups!$K$11,Lookups!$M$10:$P$40,4,0)/VLOOKUP(O51,Lookups!$M$10:$P$40,4,0)),"")</f>
        <v/>
      </c>
      <c r="Q51" s="78" t="s">
        <v>1296</v>
      </c>
      <c r="R51" s="17" t="s">
        <v>621</v>
      </c>
      <c r="S51" s="13" t="s">
        <v>2546</v>
      </c>
      <c r="T51" s="127" t="s">
        <v>1912</v>
      </c>
      <c r="U51" s="127" t="s">
        <v>2433</v>
      </c>
    </row>
    <row r="52" spans="1:21" s="51" customFormat="1" ht="60" hidden="1" customHeight="1" outlineLevel="2" x14ac:dyDescent="0.2">
      <c r="A52" s="37" t="s">
        <v>703</v>
      </c>
      <c r="B52" s="13" t="s">
        <v>1422</v>
      </c>
      <c r="C52" s="37" t="s">
        <v>822</v>
      </c>
      <c r="D52" s="48" t="s">
        <v>2532</v>
      </c>
      <c r="E52" s="13" t="s">
        <v>1383</v>
      </c>
      <c r="F52" s="13" t="s">
        <v>679</v>
      </c>
      <c r="G52" s="37" t="s">
        <v>1347</v>
      </c>
      <c r="H52" s="50">
        <v>186</v>
      </c>
      <c r="I52" s="129" t="s">
        <v>662</v>
      </c>
      <c r="J52" s="19">
        <f>IF(H52&gt;0,(H52*VLOOKUP(Lookups!$K$11,Lookups!$M$10:$P$40,4,0)/VLOOKUP(I52,Lookups!$M$10:$P$40,4,0)),"")</f>
        <v>213.59734287356395</v>
      </c>
      <c r="K52" s="50"/>
      <c r="L52" s="129"/>
      <c r="M52" s="19" t="str">
        <f>IF(K52&gt;0,(K52*VLOOKUP(Lookups!$K$11,Lookups!$M$10:$P$40,4,0)/VLOOKUP(L52,Lookups!$M$10:$P$40,4,0)),"")</f>
        <v/>
      </c>
      <c r="N52" s="50"/>
      <c r="O52" s="129"/>
      <c r="P52" s="19" t="str">
        <f>IF(N52&gt;0,(N52*VLOOKUP(Lookups!$K$11,Lookups!$M$10:$P$40,4,0)/VLOOKUP(O52,Lookups!$M$10:$P$40,4,0)),"")</f>
        <v/>
      </c>
      <c r="Q52" s="78" t="s">
        <v>823</v>
      </c>
      <c r="R52" s="17" t="s">
        <v>621</v>
      </c>
      <c r="S52" s="13" t="s">
        <v>2539</v>
      </c>
      <c r="T52" s="127" t="s">
        <v>1912</v>
      </c>
      <c r="U52" s="127" t="s">
        <v>2433</v>
      </c>
    </row>
    <row r="53" spans="1:21" s="51" customFormat="1" ht="60" hidden="1" customHeight="1" outlineLevel="2" x14ac:dyDescent="0.2">
      <c r="A53" s="37" t="s">
        <v>703</v>
      </c>
      <c r="B53" s="13" t="s">
        <v>1422</v>
      </c>
      <c r="C53" s="37" t="s">
        <v>824</v>
      </c>
      <c r="D53" s="48" t="s">
        <v>2533</v>
      </c>
      <c r="E53" s="13" t="s">
        <v>1383</v>
      </c>
      <c r="F53" s="13" t="s">
        <v>679</v>
      </c>
      <c r="G53" s="37" t="s">
        <v>1347</v>
      </c>
      <c r="H53" s="50">
        <v>271</v>
      </c>
      <c r="I53" s="129" t="s">
        <v>662</v>
      </c>
      <c r="J53" s="19">
        <f>IF(H53&gt;0,(H53*VLOOKUP(Lookups!$K$11,Lookups!$M$10:$P$40,4,0)/VLOOKUP(I53,Lookups!$M$10:$P$40,4,0)),"")</f>
        <v>311.20903182116035</v>
      </c>
      <c r="K53" s="50"/>
      <c r="L53" s="129"/>
      <c r="M53" s="19" t="str">
        <f>IF(K53&gt;0,(K53*VLOOKUP(Lookups!$K$11,Lookups!$M$10:$P$40,4,0)/VLOOKUP(L53,Lookups!$M$10:$P$40,4,0)),"")</f>
        <v/>
      </c>
      <c r="N53" s="50"/>
      <c r="O53" s="129"/>
      <c r="P53" s="19" t="str">
        <f>IF(N53&gt;0,(N53*VLOOKUP(Lookups!$K$11,Lookups!$M$10:$P$40,4,0)/VLOOKUP(O53,Lookups!$M$10:$P$40,4,0)),"")</f>
        <v/>
      </c>
      <c r="Q53" s="78" t="s">
        <v>823</v>
      </c>
      <c r="R53" s="17" t="s">
        <v>621</v>
      </c>
      <c r="S53" s="13" t="s">
        <v>2528</v>
      </c>
      <c r="T53" s="127" t="s">
        <v>1912</v>
      </c>
      <c r="U53" s="127" t="s">
        <v>2433</v>
      </c>
    </row>
    <row r="54" spans="1:21" s="51" customFormat="1" ht="60" hidden="1" customHeight="1" outlineLevel="2" x14ac:dyDescent="0.2">
      <c r="A54" s="37" t="s">
        <v>703</v>
      </c>
      <c r="B54" s="13" t="s">
        <v>1422</v>
      </c>
      <c r="C54" s="37" t="s">
        <v>825</v>
      </c>
      <c r="D54" s="48" t="s">
        <v>2530</v>
      </c>
      <c r="E54" s="13" t="s">
        <v>632</v>
      </c>
      <c r="F54" s="13" t="s">
        <v>679</v>
      </c>
      <c r="G54" s="37" t="s">
        <v>1347</v>
      </c>
      <c r="H54" s="50">
        <v>107</v>
      </c>
      <c r="I54" s="129" t="s">
        <v>662</v>
      </c>
      <c r="J54" s="19">
        <f>IF(H54&gt;0,(H54*VLOOKUP(Lookups!$K$11,Lookups!$M$10:$P$40,4,0)/VLOOKUP(I54,Lookups!$M$10:$P$40,4,0)),"")</f>
        <v>122.87589079285668</v>
      </c>
      <c r="K54" s="50"/>
      <c r="L54" s="129"/>
      <c r="M54" s="19" t="str">
        <f>IF(K54&gt;0,(K54*VLOOKUP(Lookups!$K$11,Lookups!$M$10:$P$40,4,0)/VLOOKUP(L54,Lookups!$M$10:$P$40,4,0)),"")</f>
        <v/>
      </c>
      <c r="N54" s="50"/>
      <c r="O54" s="129"/>
      <c r="P54" s="19" t="str">
        <f>IF(N54&gt;0,(N54*VLOOKUP(Lookups!$K$11,Lookups!$M$10:$P$40,4,0)/VLOOKUP(O54,Lookups!$M$10:$P$40,4,0)),"")</f>
        <v/>
      </c>
      <c r="Q54" s="78" t="s">
        <v>823</v>
      </c>
      <c r="R54" s="17" t="s">
        <v>621</v>
      </c>
      <c r="S54" s="13" t="s">
        <v>2540</v>
      </c>
      <c r="T54" s="127" t="s">
        <v>1912</v>
      </c>
      <c r="U54" s="127" t="s">
        <v>2541</v>
      </c>
    </row>
    <row r="55" spans="1:21" s="51" customFormat="1" ht="60" hidden="1" customHeight="1" outlineLevel="2" x14ac:dyDescent="0.2">
      <c r="A55" s="37" t="s">
        <v>703</v>
      </c>
      <c r="B55" s="13" t="s">
        <v>1422</v>
      </c>
      <c r="C55" s="37" t="s">
        <v>1540</v>
      </c>
      <c r="D55" s="48" t="s">
        <v>2534</v>
      </c>
      <c r="E55" s="13" t="s">
        <v>1383</v>
      </c>
      <c r="F55" s="13" t="s">
        <v>679</v>
      </c>
      <c r="G55" s="37" t="s">
        <v>1347</v>
      </c>
      <c r="H55" s="50">
        <v>195</v>
      </c>
      <c r="I55" s="129" t="s">
        <v>662</v>
      </c>
      <c r="J55" s="19">
        <f>IF(H55&gt;0,(H55*VLOOKUP(Lookups!$K$11,Lookups!$M$10:$P$40,4,0)/VLOOKUP(I55,Lookups!$M$10:$P$40,4,0)),"")</f>
        <v>223.93269817389768</v>
      </c>
      <c r="K55" s="50"/>
      <c r="L55" s="129"/>
      <c r="M55" s="19" t="str">
        <f>IF(K55&gt;0,(K55*VLOOKUP(Lookups!$K$11,Lookups!$M$10:$P$40,4,0)/VLOOKUP(L55,Lookups!$M$10:$P$40,4,0)),"")</f>
        <v/>
      </c>
      <c r="N55" s="50"/>
      <c r="O55" s="129"/>
      <c r="P55" s="19" t="str">
        <f>IF(N55&gt;0,(N55*VLOOKUP(Lookups!$K$11,Lookups!$M$10:$P$40,4,0)/VLOOKUP(O55,Lookups!$M$10:$P$40,4,0)),"")</f>
        <v/>
      </c>
      <c r="Q55" s="78" t="s">
        <v>823</v>
      </c>
      <c r="R55" s="17" t="s">
        <v>621</v>
      </c>
      <c r="S55" s="13" t="s">
        <v>2529</v>
      </c>
      <c r="T55" s="127" t="s">
        <v>1912</v>
      </c>
      <c r="U55" s="127" t="s">
        <v>2433</v>
      </c>
    </row>
    <row r="56" spans="1:21" s="51" customFormat="1" ht="60" hidden="1" customHeight="1" outlineLevel="2" x14ac:dyDescent="0.2">
      <c r="A56" s="37" t="s">
        <v>703</v>
      </c>
      <c r="B56" s="13" t="s">
        <v>1422</v>
      </c>
      <c r="C56" s="37" t="s">
        <v>1541</v>
      </c>
      <c r="D56" s="48" t="s">
        <v>2535</v>
      </c>
      <c r="E56" s="13" t="s">
        <v>1383</v>
      </c>
      <c r="F56" s="13" t="s">
        <v>679</v>
      </c>
      <c r="G56" s="37" t="s">
        <v>1347</v>
      </c>
      <c r="H56" s="50">
        <v>585</v>
      </c>
      <c r="I56" s="129" t="s">
        <v>662</v>
      </c>
      <c r="J56" s="19">
        <f>IF(H56&gt;0,(H56*VLOOKUP(Lookups!$K$11,Lookups!$M$10:$P$40,4,0)/VLOOKUP(I56,Lookups!$M$10:$P$40,4,0)),"")</f>
        <v>671.79809452169297</v>
      </c>
      <c r="K56" s="50"/>
      <c r="L56" s="129"/>
      <c r="M56" s="19" t="str">
        <f>IF(K56&gt;0,(K56*VLOOKUP(Lookups!$K$11,Lookups!$M$10:$P$40,4,0)/VLOOKUP(L56,Lookups!$M$10:$P$40,4,0)),"")</f>
        <v/>
      </c>
      <c r="N56" s="50"/>
      <c r="O56" s="129"/>
      <c r="P56" s="19" t="str">
        <f>IF(N56&gt;0,(N56*VLOOKUP(Lookups!$K$11,Lookups!$M$10:$P$40,4,0)/VLOOKUP(O56,Lookups!$M$10:$P$40,4,0)),"")</f>
        <v/>
      </c>
      <c r="Q56" s="78" t="s">
        <v>823</v>
      </c>
      <c r="R56" s="17" t="s">
        <v>621</v>
      </c>
      <c r="S56" s="13" t="s">
        <v>2542</v>
      </c>
      <c r="T56" s="127" t="s">
        <v>1912</v>
      </c>
      <c r="U56" s="127" t="s">
        <v>2433</v>
      </c>
    </row>
    <row r="57" spans="1:21" s="51" customFormat="1" ht="60" hidden="1" customHeight="1" outlineLevel="2" x14ac:dyDescent="0.2">
      <c r="A57" s="37" t="s">
        <v>703</v>
      </c>
      <c r="B57" s="13" t="s">
        <v>1422</v>
      </c>
      <c r="C57" s="37" t="s">
        <v>1542</v>
      </c>
      <c r="D57" s="48" t="s">
        <v>2536</v>
      </c>
      <c r="E57" s="13" t="s">
        <v>1383</v>
      </c>
      <c r="F57" s="13" t="s">
        <v>679</v>
      </c>
      <c r="G57" s="37" t="s">
        <v>1347</v>
      </c>
      <c r="H57" s="50">
        <v>222</v>
      </c>
      <c r="I57" s="129" t="s">
        <v>662</v>
      </c>
      <c r="J57" s="19">
        <f>IF(H57&gt;0,(H57*VLOOKUP(Lookups!$K$11,Lookups!$M$10:$P$40,4,0)/VLOOKUP(I57,Lookups!$M$10:$P$40,4,0)),"")</f>
        <v>254.9387640748989</v>
      </c>
      <c r="K57" s="50"/>
      <c r="L57" s="129"/>
      <c r="M57" s="19" t="str">
        <f>IF(K57&gt;0,(K57*VLOOKUP(Lookups!$K$11,Lookups!$M$10:$P$40,4,0)/VLOOKUP(L57,Lookups!$M$10:$P$40,4,0)),"")</f>
        <v/>
      </c>
      <c r="N57" s="50"/>
      <c r="O57" s="129"/>
      <c r="P57" s="19" t="str">
        <f>IF(N57&gt;0,(N57*VLOOKUP(Lookups!$K$11,Lookups!$M$10:$P$40,4,0)/VLOOKUP(O57,Lookups!$M$10:$P$40,4,0)),"")</f>
        <v/>
      </c>
      <c r="Q57" s="78" t="s">
        <v>823</v>
      </c>
      <c r="R57" s="17" t="s">
        <v>621</v>
      </c>
      <c r="S57" s="13" t="s">
        <v>2543</v>
      </c>
      <c r="T57" s="127" t="s">
        <v>1912</v>
      </c>
      <c r="U57" s="127" t="s">
        <v>2433</v>
      </c>
    </row>
    <row r="58" spans="1:21" s="51" customFormat="1" ht="60" hidden="1" customHeight="1" outlineLevel="2" x14ac:dyDescent="0.2">
      <c r="A58" s="37" t="s">
        <v>703</v>
      </c>
      <c r="B58" s="13" t="s">
        <v>1422</v>
      </c>
      <c r="C58" s="37" t="s">
        <v>1543</v>
      </c>
      <c r="D58" s="48" t="s">
        <v>2537</v>
      </c>
      <c r="E58" s="13" t="s">
        <v>1383</v>
      </c>
      <c r="F58" s="13" t="s">
        <v>679</v>
      </c>
      <c r="G58" s="37" t="s">
        <v>1347</v>
      </c>
      <c r="H58" s="50">
        <v>511</v>
      </c>
      <c r="I58" s="129" t="s">
        <v>662</v>
      </c>
      <c r="J58" s="19">
        <f>IF(H58&gt;0,(H58*VLOOKUP(Lookups!$K$11,Lookups!$M$10:$P$40,4,0)/VLOOKUP(I58,Lookups!$M$10:$P$40,4,0)),"")</f>
        <v>586.81850649672674</v>
      </c>
      <c r="K58" s="50"/>
      <c r="L58" s="129"/>
      <c r="M58" s="19" t="str">
        <f>IF(K58&gt;0,(K58*VLOOKUP(Lookups!$K$11,Lookups!$M$10:$P$40,4,0)/VLOOKUP(L58,Lookups!$M$10:$P$40,4,0)),"")</f>
        <v/>
      </c>
      <c r="N58" s="50"/>
      <c r="O58" s="129"/>
      <c r="P58" s="19" t="str">
        <f>IF(N58&gt;0,(N58*VLOOKUP(Lookups!$K$11,Lookups!$M$10:$P$40,4,0)/VLOOKUP(O58,Lookups!$M$10:$P$40,4,0)),"")</f>
        <v/>
      </c>
      <c r="Q58" s="78" t="s">
        <v>823</v>
      </c>
      <c r="R58" s="17" t="s">
        <v>621</v>
      </c>
      <c r="S58" s="13" t="s">
        <v>2544</v>
      </c>
      <c r="T58" s="127" t="s">
        <v>1912</v>
      </c>
      <c r="U58" s="127" t="s">
        <v>2433</v>
      </c>
    </row>
    <row r="59" spans="1:21" s="51" customFormat="1" ht="60" hidden="1" customHeight="1" outlineLevel="2" x14ac:dyDescent="0.2">
      <c r="A59" s="37" t="s">
        <v>703</v>
      </c>
      <c r="B59" s="13" t="s">
        <v>1422</v>
      </c>
      <c r="C59" s="37" t="s">
        <v>1544</v>
      </c>
      <c r="D59" s="48" t="s">
        <v>2538</v>
      </c>
      <c r="E59" s="13" t="s">
        <v>1383</v>
      </c>
      <c r="F59" s="13" t="s">
        <v>679</v>
      </c>
      <c r="G59" s="37" t="s">
        <v>1347</v>
      </c>
      <c r="H59" s="50">
        <v>2238</v>
      </c>
      <c r="I59" s="129" t="s">
        <v>662</v>
      </c>
      <c r="J59" s="19">
        <f>IF(H59&gt;0,(H59*VLOOKUP(Lookups!$K$11,Lookups!$M$10:$P$40,4,0)/VLOOKUP(I59,Lookups!$M$10:$P$40,4,0)),"")</f>
        <v>2570.0583513496567</v>
      </c>
      <c r="K59" s="50"/>
      <c r="L59" s="129"/>
      <c r="M59" s="19" t="str">
        <f>IF(K59&gt;0,(K59*VLOOKUP(Lookups!$K$11,Lookups!$M$10:$P$40,4,0)/VLOOKUP(L59,Lookups!$M$10:$P$40,4,0)),"")</f>
        <v/>
      </c>
      <c r="N59" s="50"/>
      <c r="O59" s="129"/>
      <c r="P59" s="19" t="str">
        <f>IF(N59&gt;0,(N59*VLOOKUP(Lookups!$K$11,Lookups!$M$10:$P$40,4,0)/VLOOKUP(O59,Lookups!$M$10:$P$40,4,0)),"")</f>
        <v/>
      </c>
      <c r="Q59" s="78" t="s">
        <v>823</v>
      </c>
      <c r="R59" s="17" t="s">
        <v>621</v>
      </c>
      <c r="S59" s="13" t="s">
        <v>2545</v>
      </c>
      <c r="T59" s="127" t="s">
        <v>1912</v>
      </c>
      <c r="U59" s="127" t="s">
        <v>2433</v>
      </c>
    </row>
    <row r="60" spans="1:21" s="57" customFormat="1" ht="60" customHeight="1" collapsed="1" x14ac:dyDescent="0.2">
      <c r="A60" s="43" t="s">
        <v>703</v>
      </c>
      <c r="B60" s="43" t="s">
        <v>1349</v>
      </c>
      <c r="C60" s="42" t="s">
        <v>1545</v>
      </c>
      <c r="D60" s="43" t="s">
        <v>1546</v>
      </c>
      <c r="E60" s="13" t="s">
        <v>615</v>
      </c>
      <c r="F60" s="13" t="s">
        <v>679</v>
      </c>
      <c r="G60" s="13" t="s">
        <v>1347</v>
      </c>
      <c r="H60" s="15">
        <v>1515</v>
      </c>
      <c r="I60" s="129" t="s">
        <v>664</v>
      </c>
      <c r="J60" s="19">
        <f>IF(H60&gt;0,(H60*VLOOKUP(Lookups!$K$11,Lookups!$M$10:$P$40,4,0)/VLOOKUP(I60,Lookups!$M$10:$P$40,4,0)),"")</f>
        <v>1650.2652965386949</v>
      </c>
      <c r="K60" s="15"/>
      <c r="L60" s="129"/>
      <c r="M60" s="19" t="str">
        <f>IF(K60&gt;0,(K60*VLOOKUP(Lookups!$K$11,Lookups!$M$10:$P$40,4,0)/VLOOKUP(L60,Lookups!$M$10:$P$40,4,0)),"")</f>
        <v/>
      </c>
      <c r="N60" s="15"/>
      <c r="O60" s="129"/>
      <c r="P60" s="19" t="str">
        <f>IF(N60&gt;0,(N60*VLOOKUP(Lookups!$K$11,Lookups!$M$10:$P$40,4,0)/VLOOKUP(O60,Lookups!$M$10:$P$40,4,0)),"")</f>
        <v/>
      </c>
      <c r="Q60" s="91" t="s">
        <v>1411</v>
      </c>
      <c r="R60" s="17" t="s">
        <v>621</v>
      </c>
      <c r="S60" s="13" t="s">
        <v>1547</v>
      </c>
      <c r="T60" s="4"/>
      <c r="U60" s="4"/>
    </row>
    <row r="61" spans="1:21" s="57" customFormat="1" ht="60" hidden="1" customHeight="1" outlineLevel="2" x14ac:dyDescent="0.2">
      <c r="A61" s="4" t="s">
        <v>703</v>
      </c>
      <c r="B61" s="4" t="s">
        <v>1349</v>
      </c>
      <c r="C61" s="13" t="s">
        <v>1548</v>
      </c>
      <c r="D61" s="55" t="s">
        <v>1549</v>
      </c>
      <c r="E61" s="13" t="s">
        <v>615</v>
      </c>
      <c r="F61" s="13" t="s">
        <v>679</v>
      </c>
      <c r="G61" s="13" t="s">
        <v>1347</v>
      </c>
      <c r="H61" s="15">
        <v>22</v>
      </c>
      <c r="I61" s="129" t="s">
        <v>664</v>
      </c>
      <c r="J61" s="19">
        <f>IF(H61&gt;0,(H61*VLOOKUP(Lookups!$K$11,Lookups!$M$10:$P$40,4,0)/VLOOKUP(I61,Lookups!$M$10:$P$40,4,0)),"")</f>
        <v>23.964248530594912</v>
      </c>
      <c r="K61" s="15"/>
      <c r="L61" s="129"/>
      <c r="M61" s="19" t="str">
        <f>IF(K61&gt;0,(K61*VLOOKUP(Lookups!$K$11,Lookups!$M$10:$P$40,4,0)/VLOOKUP(L61,Lookups!$M$10:$P$40,4,0)),"")</f>
        <v/>
      </c>
      <c r="N61" s="15"/>
      <c r="O61" s="129"/>
      <c r="P61" s="19" t="str">
        <f>IF(N61&gt;0,(N61*VLOOKUP(Lookups!$K$11,Lookups!$M$10:$P$40,4,0)/VLOOKUP(O61,Lookups!$M$10:$P$40,4,0)),"")</f>
        <v/>
      </c>
      <c r="Q61" s="91" t="s">
        <v>1411</v>
      </c>
      <c r="R61" s="17" t="s">
        <v>621</v>
      </c>
      <c r="S61" s="13" t="s">
        <v>1550</v>
      </c>
      <c r="T61" s="4"/>
      <c r="U61" s="4"/>
    </row>
    <row r="62" spans="1:21" s="57" customFormat="1" ht="60" hidden="1" customHeight="1" outlineLevel="2" x14ac:dyDescent="0.2">
      <c r="A62" s="4" t="s">
        <v>703</v>
      </c>
      <c r="B62" s="4" t="s">
        <v>1349</v>
      </c>
      <c r="C62" s="13" t="s">
        <v>1551</v>
      </c>
      <c r="D62" s="55" t="s">
        <v>1552</v>
      </c>
      <c r="E62" s="13" t="s">
        <v>615</v>
      </c>
      <c r="F62" s="13" t="s">
        <v>679</v>
      </c>
      <c r="G62" s="13" t="s">
        <v>1347</v>
      </c>
      <c r="H62" s="15">
        <v>204</v>
      </c>
      <c r="I62" s="129" t="s">
        <v>664</v>
      </c>
      <c r="J62" s="19">
        <f>IF(H62&gt;0,(H62*VLOOKUP(Lookups!$K$11,Lookups!$M$10:$P$40,4,0)/VLOOKUP(I62,Lookups!$M$10:$P$40,4,0)),"")</f>
        <v>222.21394092006187</v>
      </c>
      <c r="K62" s="15"/>
      <c r="L62" s="129"/>
      <c r="M62" s="19" t="str">
        <f>IF(K62&gt;0,(K62*VLOOKUP(Lookups!$K$11,Lookups!$M$10:$P$40,4,0)/VLOOKUP(L62,Lookups!$M$10:$P$40,4,0)),"")</f>
        <v/>
      </c>
      <c r="N62" s="15"/>
      <c r="O62" s="129"/>
      <c r="P62" s="19" t="str">
        <f>IF(N62&gt;0,(N62*VLOOKUP(Lookups!$K$11,Lookups!$M$10:$P$40,4,0)/VLOOKUP(O62,Lookups!$M$10:$P$40,4,0)),"")</f>
        <v/>
      </c>
      <c r="Q62" s="91" t="s">
        <v>1411</v>
      </c>
      <c r="R62" s="17" t="s">
        <v>621</v>
      </c>
      <c r="S62" s="13" t="s">
        <v>1553</v>
      </c>
      <c r="T62" s="4"/>
      <c r="U62" s="4"/>
    </row>
    <row r="63" spans="1:21" s="57" customFormat="1" ht="60" hidden="1" customHeight="1" outlineLevel="2" x14ac:dyDescent="0.2">
      <c r="A63" s="4" t="s">
        <v>703</v>
      </c>
      <c r="B63" s="4" t="s">
        <v>1349</v>
      </c>
      <c r="C63" s="13" t="s">
        <v>1554</v>
      </c>
      <c r="D63" s="55" t="s">
        <v>1555</v>
      </c>
      <c r="E63" s="13" t="s">
        <v>615</v>
      </c>
      <c r="F63" s="13" t="s">
        <v>679</v>
      </c>
      <c r="G63" s="13" t="s">
        <v>1347</v>
      </c>
      <c r="H63" s="15">
        <v>223</v>
      </c>
      <c r="I63" s="129" t="s">
        <v>664</v>
      </c>
      <c r="J63" s="19">
        <f>IF(H63&gt;0,(H63*VLOOKUP(Lookups!$K$11,Lookups!$M$10:$P$40,4,0)/VLOOKUP(I63,Lookups!$M$10:$P$40,4,0)),"")</f>
        <v>242.91033737830296</v>
      </c>
      <c r="K63" s="15"/>
      <c r="L63" s="129"/>
      <c r="M63" s="19" t="str">
        <f>IF(K63&gt;0,(K63*VLOOKUP(Lookups!$K$11,Lookups!$M$10:$P$40,4,0)/VLOOKUP(L63,Lookups!$M$10:$P$40,4,0)),"")</f>
        <v/>
      </c>
      <c r="N63" s="15"/>
      <c r="O63" s="129"/>
      <c r="P63" s="19" t="str">
        <f>IF(N63&gt;0,(N63*VLOOKUP(Lookups!$K$11,Lookups!$M$10:$P$40,4,0)/VLOOKUP(O63,Lookups!$M$10:$P$40,4,0)),"")</f>
        <v/>
      </c>
      <c r="Q63" s="91" t="s">
        <v>1411</v>
      </c>
      <c r="R63" s="17" t="s">
        <v>621</v>
      </c>
      <c r="S63" s="13" t="s">
        <v>1556</v>
      </c>
      <c r="T63" s="4"/>
      <c r="U63" s="4"/>
    </row>
    <row r="64" spans="1:21" s="57" customFormat="1" ht="60" hidden="1" customHeight="1" outlineLevel="2" x14ac:dyDescent="0.2">
      <c r="A64" s="4" t="s">
        <v>703</v>
      </c>
      <c r="B64" s="4" t="s">
        <v>1349</v>
      </c>
      <c r="C64" s="13" t="s">
        <v>1557</v>
      </c>
      <c r="D64" s="55" t="s">
        <v>1558</v>
      </c>
      <c r="E64" s="13" t="s">
        <v>615</v>
      </c>
      <c r="F64" s="13" t="s">
        <v>679</v>
      </c>
      <c r="G64" s="13" t="s">
        <v>1347</v>
      </c>
      <c r="H64" s="15">
        <v>197</v>
      </c>
      <c r="I64" s="129" t="s">
        <v>664</v>
      </c>
      <c r="J64" s="19">
        <f>IF(H64&gt;0,(H64*VLOOKUP(Lookups!$K$11,Lookups!$M$10:$P$40,4,0)/VLOOKUP(I64,Lookups!$M$10:$P$40,4,0)),"")</f>
        <v>214.58895275123626</v>
      </c>
      <c r="K64" s="15"/>
      <c r="L64" s="129"/>
      <c r="M64" s="19" t="str">
        <f>IF(K64&gt;0,(K64*VLOOKUP(Lookups!$K$11,Lookups!$M$10:$P$40,4,0)/VLOOKUP(L64,Lookups!$M$10:$P$40,4,0)),"")</f>
        <v/>
      </c>
      <c r="N64" s="15"/>
      <c r="O64" s="129"/>
      <c r="P64" s="19" t="str">
        <f>IF(N64&gt;0,(N64*VLOOKUP(Lookups!$K$11,Lookups!$M$10:$P$40,4,0)/VLOOKUP(O64,Lookups!$M$10:$P$40,4,0)),"")</f>
        <v/>
      </c>
      <c r="Q64" s="91" t="s">
        <v>1411</v>
      </c>
      <c r="R64" s="17" t="s">
        <v>621</v>
      </c>
      <c r="S64" s="13" t="s">
        <v>1559</v>
      </c>
      <c r="T64" s="4"/>
      <c r="U64" s="4"/>
    </row>
    <row r="65" spans="1:21" s="57" customFormat="1" ht="60" hidden="1" customHeight="1" outlineLevel="2" x14ac:dyDescent="0.2">
      <c r="A65" s="4" t="s">
        <v>703</v>
      </c>
      <c r="B65" s="4" t="s">
        <v>1349</v>
      </c>
      <c r="C65" s="13" t="s">
        <v>1560</v>
      </c>
      <c r="D65" s="55" t="s">
        <v>1561</v>
      </c>
      <c r="E65" s="13" t="s">
        <v>632</v>
      </c>
      <c r="F65" s="13" t="s">
        <v>679</v>
      </c>
      <c r="G65" s="13" t="s">
        <v>1347</v>
      </c>
      <c r="H65" s="15">
        <v>165</v>
      </c>
      <c r="I65" s="129" t="s">
        <v>664</v>
      </c>
      <c r="J65" s="19">
        <f>IF(H65&gt;0,(H65*VLOOKUP(Lookups!$K$11,Lookups!$M$10:$P$40,4,0)/VLOOKUP(I65,Lookups!$M$10:$P$40,4,0)),"")</f>
        <v>179.73186397946182</v>
      </c>
      <c r="K65" s="15"/>
      <c r="L65" s="129"/>
      <c r="M65" s="19" t="str">
        <f>IF(K65&gt;0,(K65*VLOOKUP(Lookups!$K$11,Lookups!$M$10:$P$40,4,0)/VLOOKUP(L65,Lookups!$M$10:$P$40,4,0)),"")</f>
        <v/>
      </c>
      <c r="N65" s="15"/>
      <c r="O65" s="129"/>
      <c r="P65" s="19" t="str">
        <f>IF(N65&gt;0,(N65*VLOOKUP(Lookups!$K$11,Lookups!$M$10:$P$40,4,0)/VLOOKUP(O65,Lookups!$M$10:$P$40,4,0)),"")</f>
        <v/>
      </c>
      <c r="Q65" s="91" t="s">
        <v>1411</v>
      </c>
      <c r="R65" s="17" t="s">
        <v>621</v>
      </c>
      <c r="S65" s="13" t="s">
        <v>1562</v>
      </c>
      <c r="T65" s="4"/>
      <c r="U65" s="4"/>
    </row>
    <row r="66" spans="1:21" s="57" customFormat="1" ht="60" hidden="1" customHeight="1" outlineLevel="2" x14ac:dyDescent="0.2">
      <c r="A66" s="4" t="s">
        <v>703</v>
      </c>
      <c r="B66" s="4" t="s">
        <v>1349</v>
      </c>
      <c r="C66" s="13" t="s">
        <v>1563</v>
      </c>
      <c r="D66" s="55" t="s">
        <v>1564</v>
      </c>
      <c r="E66" s="13" t="s">
        <v>615</v>
      </c>
      <c r="F66" s="13" t="s">
        <v>679</v>
      </c>
      <c r="G66" s="13" t="s">
        <v>1347</v>
      </c>
      <c r="H66" s="15">
        <v>84</v>
      </c>
      <c r="I66" s="129" t="s">
        <v>664</v>
      </c>
      <c r="J66" s="19">
        <f>IF(H66&gt;0,(H66*VLOOKUP(Lookups!$K$11,Lookups!$M$10:$P$40,4,0)/VLOOKUP(I66,Lookups!$M$10:$P$40,4,0)),"")</f>
        <v>91.499858025907827</v>
      </c>
      <c r="K66" s="15"/>
      <c r="L66" s="129"/>
      <c r="M66" s="19" t="str">
        <f>IF(K66&gt;0,(K66*VLOOKUP(Lookups!$K$11,Lookups!$M$10:$P$40,4,0)/VLOOKUP(L66,Lookups!$M$10:$P$40,4,0)),"")</f>
        <v/>
      </c>
      <c r="N66" s="15"/>
      <c r="O66" s="129"/>
      <c r="P66" s="19" t="str">
        <f>IF(N66&gt;0,(N66*VLOOKUP(Lookups!$K$11,Lookups!$M$10:$P$40,4,0)/VLOOKUP(O66,Lookups!$M$10:$P$40,4,0)),"")</f>
        <v/>
      </c>
      <c r="Q66" s="91" t="s">
        <v>1411</v>
      </c>
      <c r="R66" s="17" t="s">
        <v>621</v>
      </c>
      <c r="S66" s="13" t="s">
        <v>1565</v>
      </c>
      <c r="T66" s="4"/>
      <c r="U66" s="4"/>
    </row>
    <row r="67" spans="1:21" s="57" customFormat="1" ht="60" hidden="1" customHeight="1" outlineLevel="1" collapsed="1" x14ac:dyDescent="0.2">
      <c r="A67" s="46" t="s">
        <v>703</v>
      </c>
      <c r="B67" s="54" t="s">
        <v>1349</v>
      </c>
      <c r="C67" s="46" t="s">
        <v>1566</v>
      </c>
      <c r="D67" s="46" t="s">
        <v>1567</v>
      </c>
      <c r="E67" s="13" t="s">
        <v>637</v>
      </c>
      <c r="F67" s="13" t="s">
        <v>679</v>
      </c>
      <c r="G67" s="37" t="s">
        <v>1347</v>
      </c>
      <c r="H67" s="15">
        <v>37</v>
      </c>
      <c r="I67" s="129" t="s">
        <v>663</v>
      </c>
      <c r="J67" s="19">
        <f>IF(H67&gt;0,(H67*VLOOKUP(Lookups!$K$11,Lookups!$M$10:$P$40,4,0)/VLOOKUP(I67,Lookups!$M$10:$P$40,4,0)),"")</f>
        <v>41.41911001850481</v>
      </c>
      <c r="K67" s="15"/>
      <c r="L67" s="129"/>
      <c r="M67" s="19" t="str">
        <f>IF(K67&gt;0,(K67*VLOOKUP(Lookups!$K$11,Lookups!$M$10:$P$40,4,0)/VLOOKUP(L67,Lookups!$M$10:$P$40,4,0)),"")</f>
        <v/>
      </c>
      <c r="N67" s="15"/>
      <c r="O67" s="129"/>
      <c r="P67" s="19" t="str">
        <f>IF(N67&gt;0,(N67*VLOOKUP(Lookups!$K$11,Lookups!$M$10:$P$40,4,0)/VLOOKUP(O67,Lookups!$M$10:$P$40,4,0)),"")</f>
        <v/>
      </c>
      <c r="Q67" s="77" t="s">
        <v>1568</v>
      </c>
      <c r="R67" s="17" t="s">
        <v>621</v>
      </c>
      <c r="S67" s="13" t="s">
        <v>1569</v>
      </c>
      <c r="T67" s="4"/>
      <c r="U67" s="120" t="s">
        <v>2226</v>
      </c>
    </row>
    <row r="68" spans="1:21" s="57" customFormat="1" ht="60" hidden="1" customHeight="1" outlineLevel="1" x14ac:dyDescent="0.2">
      <c r="A68" s="46" t="s">
        <v>703</v>
      </c>
      <c r="B68" s="54" t="s">
        <v>1349</v>
      </c>
      <c r="C68" s="46" t="s">
        <v>1570</v>
      </c>
      <c r="D68" s="46" t="s">
        <v>1571</v>
      </c>
      <c r="E68" s="13" t="s">
        <v>637</v>
      </c>
      <c r="F68" s="13" t="s">
        <v>679</v>
      </c>
      <c r="G68" s="37" t="s">
        <v>1347</v>
      </c>
      <c r="H68" s="15">
        <v>117</v>
      </c>
      <c r="I68" s="129" t="s">
        <v>663</v>
      </c>
      <c r="J68" s="19">
        <f>IF(H68&gt;0,(H68*VLOOKUP(Lookups!$K$11,Lookups!$M$10:$P$40,4,0)/VLOOKUP(I68,Lookups!$M$10:$P$40,4,0)),"")</f>
        <v>130.97394249094762</v>
      </c>
      <c r="K68" s="15"/>
      <c r="L68" s="129"/>
      <c r="M68" s="19" t="str">
        <f>IF(K68&gt;0,(K68*VLOOKUP(Lookups!$K$11,Lookups!$M$10:$P$40,4,0)/VLOOKUP(L68,Lookups!$M$10:$P$40,4,0)),"")</f>
        <v/>
      </c>
      <c r="N68" s="15"/>
      <c r="O68" s="129"/>
      <c r="P68" s="19" t="str">
        <f>IF(N68&gt;0,(N68*VLOOKUP(Lookups!$K$11,Lookups!$M$10:$P$40,4,0)/VLOOKUP(O68,Lookups!$M$10:$P$40,4,0)),"")</f>
        <v/>
      </c>
      <c r="Q68" s="77" t="s">
        <v>1568</v>
      </c>
      <c r="R68" s="17" t="s">
        <v>621</v>
      </c>
      <c r="S68" s="13" t="s">
        <v>963</v>
      </c>
      <c r="T68" s="4"/>
      <c r="U68" s="120" t="s">
        <v>2226</v>
      </c>
    </row>
    <row r="69" spans="1:21" s="57" customFormat="1" ht="60" hidden="1" customHeight="1" outlineLevel="1" x14ac:dyDescent="0.2">
      <c r="A69" s="46" t="s">
        <v>703</v>
      </c>
      <c r="B69" s="54" t="s">
        <v>1349</v>
      </c>
      <c r="C69" s="46" t="s">
        <v>964</v>
      </c>
      <c r="D69" s="46" t="s">
        <v>965</v>
      </c>
      <c r="E69" s="13" t="s">
        <v>637</v>
      </c>
      <c r="F69" s="13" t="s">
        <v>679</v>
      </c>
      <c r="G69" s="37" t="s">
        <v>1347</v>
      </c>
      <c r="H69" s="15">
        <v>362</v>
      </c>
      <c r="I69" s="129" t="s">
        <v>663</v>
      </c>
      <c r="J69" s="19">
        <f>IF(H69&gt;0,(H69*VLOOKUP(Lookups!$K$11,Lookups!$M$10:$P$40,4,0)/VLOOKUP(I69,Lookups!$M$10:$P$40,4,0)),"")</f>
        <v>405.2356169378038</v>
      </c>
      <c r="K69" s="15"/>
      <c r="L69" s="129"/>
      <c r="M69" s="19" t="str">
        <f>IF(K69&gt;0,(K69*VLOOKUP(Lookups!$K$11,Lookups!$M$10:$P$40,4,0)/VLOOKUP(L69,Lookups!$M$10:$P$40,4,0)),"")</f>
        <v/>
      </c>
      <c r="N69" s="15"/>
      <c r="O69" s="129"/>
      <c r="P69" s="19" t="str">
        <f>IF(N69&gt;0,(N69*VLOOKUP(Lookups!$K$11,Lookups!$M$10:$P$40,4,0)/VLOOKUP(O69,Lookups!$M$10:$P$40,4,0)),"")</f>
        <v/>
      </c>
      <c r="Q69" s="77" t="s">
        <v>1568</v>
      </c>
      <c r="R69" s="17" t="s">
        <v>621</v>
      </c>
      <c r="S69" s="13" t="s">
        <v>1164</v>
      </c>
      <c r="T69" s="4"/>
      <c r="U69" s="120" t="s">
        <v>2226</v>
      </c>
    </row>
    <row r="70" spans="1:21" s="57" customFormat="1" ht="60" hidden="1" customHeight="1" outlineLevel="1" x14ac:dyDescent="0.2">
      <c r="A70" s="46" t="s">
        <v>703</v>
      </c>
      <c r="B70" s="54" t="s">
        <v>1349</v>
      </c>
      <c r="C70" s="46" t="s">
        <v>1165</v>
      </c>
      <c r="D70" s="46" t="s">
        <v>1166</v>
      </c>
      <c r="E70" s="13" t="s">
        <v>637</v>
      </c>
      <c r="F70" s="13" t="s">
        <v>679</v>
      </c>
      <c r="G70" s="37" t="s">
        <v>1347</v>
      </c>
      <c r="H70" s="15">
        <v>660</v>
      </c>
      <c r="I70" s="129" t="s">
        <v>663</v>
      </c>
      <c r="J70" s="19">
        <f>IF(H70&gt;0,(H70*VLOOKUP(Lookups!$K$11,Lookups!$M$10:$P$40,4,0)/VLOOKUP(I70,Lookups!$M$10:$P$40,4,0)),"")</f>
        <v>738.82736789765329</v>
      </c>
      <c r="K70" s="15"/>
      <c r="L70" s="129"/>
      <c r="M70" s="19" t="str">
        <f>IF(K70&gt;0,(K70*VLOOKUP(Lookups!$K$11,Lookups!$M$10:$P$40,4,0)/VLOOKUP(L70,Lookups!$M$10:$P$40,4,0)),"")</f>
        <v/>
      </c>
      <c r="N70" s="15"/>
      <c r="O70" s="129"/>
      <c r="P70" s="19" t="str">
        <f>IF(N70&gt;0,(N70*VLOOKUP(Lookups!$K$11,Lookups!$M$10:$P$40,4,0)/VLOOKUP(O70,Lookups!$M$10:$P$40,4,0)),"")</f>
        <v/>
      </c>
      <c r="Q70" s="91" t="s">
        <v>1167</v>
      </c>
      <c r="R70" s="17" t="s">
        <v>619</v>
      </c>
      <c r="S70" s="13" t="s">
        <v>1168</v>
      </c>
      <c r="T70" s="4"/>
      <c r="U70" s="13"/>
    </row>
    <row r="71" spans="1:21" s="58" customFormat="1" ht="60" customHeight="1" collapsed="1" x14ac:dyDescent="0.2">
      <c r="A71" s="42" t="s">
        <v>703</v>
      </c>
      <c r="B71" s="42" t="s">
        <v>1169</v>
      </c>
      <c r="C71" s="42" t="s">
        <v>1170</v>
      </c>
      <c r="D71" s="42" t="s">
        <v>1171</v>
      </c>
      <c r="E71" s="13" t="s">
        <v>631</v>
      </c>
      <c r="F71" s="13" t="s">
        <v>679</v>
      </c>
      <c r="G71" s="37" t="s">
        <v>1347</v>
      </c>
      <c r="H71" s="15">
        <f>538.2/3*2</f>
        <v>358.8</v>
      </c>
      <c r="I71" s="129" t="s">
        <v>727</v>
      </c>
      <c r="J71" s="19">
        <f>IF(H71&gt;0,(H71*VLOOKUP(Lookups!$K$11,Lookups!$M$10:$P$40,4,0)/VLOOKUP(I71,Lookups!$M$10:$P$40,4,0)),"")</f>
        <v>370.00819439999992</v>
      </c>
      <c r="K71" s="15">
        <f>538.2/3</f>
        <v>179.4</v>
      </c>
      <c r="L71" s="129" t="s">
        <v>727</v>
      </c>
      <c r="M71" s="19">
        <f>IF(K71&gt;0,(K71*VLOOKUP(Lookups!$K$11,Lookups!$M$10:$P$40,4,0)/VLOOKUP(L71,Lookups!$M$10:$P$40,4,0)),"")</f>
        <v>185.00409719999996</v>
      </c>
      <c r="N71" s="15"/>
      <c r="O71" s="129"/>
      <c r="P71" s="19" t="str">
        <f>IF(N71&gt;0,(N71*VLOOKUP(Lookups!$K$11,Lookups!$M$10:$P$40,4,0)/VLOOKUP(O71,Lookups!$M$10:$P$40,4,0)),"")</f>
        <v/>
      </c>
      <c r="Q71" s="96" t="s">
        <v>2219</v>
      </c>
      <c r="R71" s="17" t="s">
        <v>619</v>
      </c>
      <c r="S71" s="13" t="s">
        <v>485</v>
      </c>
      <c r="T71" s="13" t="s">
        <v>1912</v>
      </c>
      <c r="U71" s="13" t="s">
        <v>2220</v>
      </c>
    </row>
    <row r="72" spans="1:21" s="58" customFormat="1" ht="60" hidden="1" customHeight="1" outlineLevel="1" x14ac:dyDescent="0.2">
      <c r="A72" s="46" t="s">
        <v>703</v>
      </c>
      <c r="B72" s="54" t="s">
        <v>1169</v>
      </c>
      <c r="C72" s="46" t="s">
        <v>1172</v>
      </c>
      <c r="D72" s="46" t="s">
        <v>1173</v>
      </c>
      <c r="E72" s="13" t="s">
        <v>631</v>
      </c>
      <c r="F72" s="13" t="s">
        <v>679</v>
      </c>
      <c r="G72" s="37" t="s">
        <v>1347</v>
      </c>
      <c r="H72" s="15">
        <f>SUM(H73:H75)</f>
        <v>767.73333333333335</v>
      </c>
      <c r="I72" s="129" t="s">
        <v>727</v>
      </c>
      <c r="J72" s="19">
        <f>IF(H72&gt;0,(H72*VLOOKUP(Lookups!$K$11,Lookups!$M$10:$P$40,4,0)/VLOOKUP(I72,Lookups!$M$10:$P$40,4,0)),"")</f>
        <v>791.71578719999991</v>
      </c>
      <c r="K72" s="15">
        <f>K75</f>
        <v>331.66666666666669</v>
      </c>
      <c r="L72" s="129" t="s">
        <v>727</v>
      </c>
      <c r="M72" s="19">
        <f>IF(K72&gt;0,(K72*VLOOKUP(Lookups!$K$11,Lookups!$M$10:$P$40,4,0)/VLOOKUP(L72,Lookups!$M$10:$P$40,4,0)),"")</f>
        <v>342.02726999999999</v>
      </c>
      <c r="N72" s="15"/>
      <c r="O72" s="129"/>
      <c r="P72" s="19" t="str">
        <f>IF(N72&gt;0,(N72*VLOOKUP(Lookups!$K$11,Lookups!$M$10:$P$40,4,0)/VLOOKUP(O72,Lookups!$M$10:$P$40,4,0)),"")</f>
        <v/>
      </c>
      <c r="Q72" s="77" t="s">
        <v>2237</v>
      </c>
      <c r="R72" s="17" t="s">
        <v>621</v>
      </c>
      <c r="S72" s="13" t="s">
        <v>2238</v>
      </c>
      <c r="T72" s="13" t="s">
        <v>1912</v>
      </c>
      <c r="U72" s="13" t="s">
        <v>2241</v>
      </c>
    </row>
    <row r="73" spans="1:21" s="58" customFormat="1" ht="60" hidden="1" customHeight="1" outlineLevel="2" x14ac:dyDescent="0.2">
      <c r="A73" s="13" t="s">
        <v>703</v>
      </c>
      <c r="B73" s="13" t="s">
        <v>1169</v>
      </c>
      <c r="C73" s="13" t="s">
        <v>1174</v>
      </c>
      <c r="D73" s="48" t="s">
        <v>1175</v>
      </c>
      <c r="E73" s="13" t="s">
        <v>631</v>
      </c>
      <c r="F73" s="13" t="s">
        <v>679</v>
      </c>
      <c r="G73" s="37" t="s">
        <v>1347</v>
      </c>
      <c r="H73" s="15">
        <v>86</v>
      </c>
      <c r="I73" s="129" t="s">
        <v>727</v>
      </c>
      <c r="J73" s="19">
        <f>IF(H73&gt;0,(H73*VLOOKUP(Lookups!$K$11,Lookups!$M$10:$P$40,4,0)/VLOOKUP(I73,Lookups!$M$10:$P$40,4,0)),"")</f>
        <v>88.686467999999991</v>
      </c>
      <c r="K73" s="15"/>
      <c r="L73" s="129"/>
      <c r="M73" s="19" t="str">
        <f>IF(K73&gt;0,(K73*VLOOKUP(Lookups!$K$11,Lookups!$M$10:$P$40,4,0)/VLOOKUP(L73,Lookups!$M$10:$P$40,4,0)),"")</f>
        <v/>
      </c>
      <c r="N73" s="15"/>
      <c r="O73" s="129"/>
      <c r="P73" s="19" t="str">
        <f>IF(N73&gt;0,(N73*VLOOKUP(Lookups!$K$11,Lookups!$M$10:$P$40,4,0)/VLOOKUP(O73,Lookups!$M$10:$P$40,4,0)),"")</f>
        <v/>
      </c>
      <c r="Q73" s="77" t="s">
        <v>2237</v>
      </c>
      <c r="R73" s="17" t="s">
        <v>621</v>
      </c>
      <c r="S73" s="13" t="s">
        <v>478</v>
      </c>
      <c r="T73" s="13" t="s">
        <v>1912</v>
      </c>
      <c r="U73" s="110" t="s">
        <v>2242</v>
      </c>
    </row>
    <row r="74" spans="1:21" s="58" customFormat="1" ht="60" hidden="1" customHeight="1" outlineLevel="2" x14ac:dyDescent="0.2">
      <c r="A74" s="13" t="s">
        <v>703</v>
      </c>
      <c r="B74" s="13" t="s">
        <v>1169</v>
      </c>
      <c r="C74" s="13" t="s">
        <v>1176</v>
      </c>
      <c r="D74" s="48" t="s">
        <v>1177</v>
      </c>
      <c r="E74" s="13" t="s">
        <v>631</v>
      </c>
      <c r="F74" s="13" t="s">
        <v>679</v>
      </c>
      <c r="G74" s="37" t="s">
        <v>1347</v>
      </c>
      <c r="H74" s="15">
        <v>18.399999999999999</v>
      </c>
      <c r="I74" s="129" t="s">
        <v>727</v>
      </c>
      <c r="J74" s="19">
        <f>IF(H74&gt;0,(H74*VLOOKUP(Lookups!$K$11,Lookups!$M$10:$P$40,4,0)/VLOOKUP(I74,Lookups!$M$10:$P$40,4,0)),"")</f>
        <v>18.974779199999997</v>
      </c>
      <c r="K74" s="15"/>
      <c r="L74" s="129"/>
      <c r="M74" s="19" t="str">
        <f>IF(K74&gt;0,(K74*VLOOKUP(Lookups!$K$11,Lookups!$M$10:$P$40,4,0)/VLOOKUP(L74,Lookups!$M$10:$P$40,4,0)),"")</f>
        <v/>
      </c>
      <c r="N74" s="15"/>
      <c r="O74" s="129"/>
      <c r="P74" s="19" t="str">
        <f>IF(N74&gt;0,(N74*VLOOKUP(Lookups!$K$11,Lookups!$M$10:$P$40,4,0)/VLOOKUP(O74,Lookups!$M$10:$P$40,4,0)),"")</f>
        <v/>
      </c>
      <c r="Q74" s="77" t="s">
        <v>2237</v>
      </c>
      <c r="R74" s="17" t="s">
        <v>621</v>
      </c>
      <c r="S74" s="13" t="s">
        <v>2239</v>
      </c>
      <c r="T74" s="13" t="s">
        <v>1912</v>
      </c>
      <c r="U74" s="110" t="s">
        <v>2242</v>
      </c>
    </row>
    <row r="75" spans="1:21" s="58" customFormat="1" ht="60" hidden="1" customHeight="1" outlineLevel="2" x14ac:dyDescent="0.2">
      <c r="A75" s="13" t="s">
        <v>703</v>
      </c>
      <c r="B75" s="13" t="s">
        <v>1169</v>
      </c>
      <c r="C75" s="13" t="s">
        <v>1178</v>
      </c>
      <c r="D75" s="48" t="s">
        <v>1179</v>
      </c>
      <c r="E75" s="13" t="s">
        <v>631</v>
      </c>
      <c r="F75" s="13" t="s">
        <v>679</v>
      </c>
      <c r="G75" s="37" t="s">
        <v>1347</v>
      </c>
      <c r="H75" s="15">
        <f>995/3*2</f>
        <v>663.33333333333337</v>
      </c>
      <c r="I75" s="129" t="s">
        <v>727</v>
      </c>
      <c r="J75" s="19">
        <f>IF(H75&gt;0,(H75*VLOOKUP(Lookups!$K$11,Lookups!$M$10:$P$40,4,0)/VLOOKUP(I75,Lookups!$M$10:$P$40,4,0)),"")</f>
        <v>684.05453999999997</v>
      </c>
      <c r="K75" s="15">
        <f>995/3</f>
        <v>331.66666666666669</v>
      </c>
      <c r="L75" s="129" t="s">
        <v>727</v>
      </c>
      <c r="M75" s="19">
        <f>IF(K75&gt;0,(K75*VLOOKUP(Lookups!$K$11,Lookups!$M$10:$P$40,4,0)/VLOOKUP(L75,Lookups!$M$10:$P$40,4,0)),"")</f>
        <v>342.02726999999999</v>
      </c>
      <c r="N75" s="15"/>
      <c r="O75" s="129"/>
      <c r="P75" s="19" t="str">
        <f>IF(N75&gt;0,(N75*VLOOKUP(Lookups!$K$11,Lookups!$M$10:$P$40,4,0)/VLOOKUP(O75,Lookups!$M$10:$P$40,4,0)),"")</f>
        <v/>
      </c>
      <c r="Q75" s="77" t="s">
        <v>2237</v>
      </c>
      <c r="R75" s="17" t="s">
        <v>621</v>
      </c>
      <c r="S75" s="13" t="s">
        <v>2240</v>
      </c>
      <c r="T75" s="13" t="s">
        <v>1912</v>
      </c>
      <c r="U75" s="13" t="s">
        <v>2241</v>
      </c>
    </row>
    <row r="76" spans="1:21" s="58" customFormat="1" ht="60" customHeight="1" collapsed="1" x14ac:dyDescent="0.2">
      <c r="A76" s="42" t="s">
        <v>703</v>
      </c>
      <c r="B76" s="42" t="s">
        <v>1169</v>
      </c>
      <c r="C76" s="42" t="s">
        <v>1180</v>
      </c>
      <c r="D76" s="42" t="s">
        <v>1874</v>
      </c>
      <c r="E76" s="13" t="s">
        <v>631</v>
      </c>
      <c r="F76" s="13" t="s">
        <v>679</v>
      </c>
      <c r="G76" s="37" t="s">
        <v>629</v>
      </c>
      <c r="H76" s="15">
        <f>SUM(H77:H78)</f>
        <v>465.65666666666664</v>
      </c>
      <c r="I76" s="129" t="s">
        <v>727</v>
      </c>
      <c r="J76" s="19">
        <f>IF(H76&gt;0,(H76*VLOOKUP(Lookups!$K$11,Lookups!$M$10:$P$40,4,0)/VLOOKUP(I76,Lookups!$M$10:$P$40,4,0)),"")</f>
        <v>480.20284961999994</v>
      </c>
      <c r="K76" s="15">
        <f>K77</f>
        <v>177.93333333333331</v>
      </c>
      <c r="L76" s="129" t="s">
        <v>727</v>
      </c>
      <c r="M76" s="19">
        <f>IF(K76&gt;0,(K76*VLOOKUP(Lookups!$K$11,Lookups!$M$10:$P$40,4,0)/VLOOKUP(L76,Lookups!$M$10:$P$40,4,0)),"")</f>
        <v>183.49161479999995</v>
      </c>
      <c r="N76" s="15"/>
      <c r="O76" s="129"/>
      <c r="P76" s="19" t="str">
        <f>IF(N76&gt;0,(N76*VLOOKUP(Lookups!$K$11,Lookups!$M$10:$P$40,4,0)/VLOOKUP(O76,Lookups!$M$10:$P$40,4,0)),"")</f>
        <v/>
      </c>
      <c r="Q76" s="96" t="s">
        <v>2224</v>
      </c>
      <c r="R76" s="17" t="s">
        <v>619</v>
      </c>
      <c r="S76" s="47" t="s">
        <v>2225</v>
      </c>
      <c r="T76" s="13" t="s">
        <v>1912</v>
      </c>
      <c r="U76" s="13" t="s">
        <v>2220</v>
      </c>
    </row>
    <row r="77" spans="1:21" s="58" customFormat="1" ht="60" hidden="1" customHeight="1" outlineLevel="2" x14ac:dyDescent="0.2">
      <c r="A77" s="13" t="s">
        <v>703</v>
      </c>
      <c r="B77" s="13" t="s">
        <v>1169</v>
      </c>
      <c r="C77" s="13" t="s">
        <v>1877</v>
      </c>
      <c r="D77" s="48" t="s">
        <v>1875</v>
      </c>
      <c r="E77" s="13" t="s">
        <v>631</v>
      </c>
      <c r="F77" s="13" t="s">
        <v>679</v>
      </c>
      <c r="G77" s="37" t="s">
        <v>1347</v>
      </c>
      <c r="H77" s="15">
        <f>533.8/3*2</f>
        <v>355.86666666666662</v>
      </c>
      <c r="I77" s="129" t="s">
        <v>727</v>
      </c>
      <c r="J77" s="19">
        <f>IF(H77&gt;0,(H77*VLOOKUP(Lookups!$K$11,Lookups!$M$10:$P$40,4,0)/VLOOKUP(I77,Lookups!$M$10:$P$40,4,0)),"")</f>
        <v>366.9832295999999</v>
      </c>
      <c r="K77" s="15">
        <f>533.8/3</f>
        <v>177.93333333333331</v>
      </c>
      <c r="L77" s="129" t="s">
        <v>727</v>
      </c>
      <c r="M77" s="19">
        <f>IF(K77&gt;0,(K77*VLOOKUP(Lookups!$K$11,Lookups!$M$10:$P$40,4,0)/VLOOKUP(L77,Lookups!$M$10:$P$40,4,0)),"")</f>
        <v>183.49161479999995</v>
      </c>
      <c r="N77" s="15"/>
      <c r="O77" s="129"/>
      <c r="P77" s="19" t="str">
        <f>IF(N77&gt;0,(N77*VLOOKUP(Lookups!$K$11,Lookups!$M$10:$P$40,4,0)/VLOOKUP(O77,Lookups!$M$10:$P$40,4,0)),"")</f>
        <v/>
      </c>
      <c r="Q77" s="96" t="s">
        <v>2219</v>
      </c>
      <c r="R77" s="17" t="s">
        <v>619</v>
      </c>
      <c r="S77" s="47" t="s">
        <v>475</v>
      </c>
      <c r="T77" s="13" t="s">
        <v>1912</v>
      </c>
      <c r="U77" s="13" t="s">
        <v>2220</v>
      </c>
    </row>
    <row r="78" spans="1:21" s="58" customFormat="1" ht="60" hidden="1" customHeight="1" outlineLevel="2" x14ac:dyDescent="0.2">
      <c r="A78" s="13" t="s">
        <v>703</v>
      </c>
      <c r="B78" s="13" t="s">
        <v>1169</v>
      </c>
      <c r="C78" s="13" t="s">
        <v>1876</v>
      </c>
      <c r="D78" s="48" t="s">
        <v>1878</v>
      </c>
      <c r="E78" s="13" t="s">
        <v>631</v>
      </c>
      <c r="F78" s="13" t="s">
        <v>629</v>
      </c>
      <c r="G78" s="37"/>
      <c r="H78" s="15">
        <v>109.79</v>
      </c>
      <c r="I78" s="129" t="s">
        <v>727</v>
      </c>
      <c r="J78" s="19">
        <f>IF(H78&gt;0,(H78*VLOOKUP(Lookups!$K$11,Lookups!$M$10:$P$40,4,0)/VLOOKUP(I78,Lookups!$M$10:$P$40,4,0)),"")</f>
        <v>113.21962001999999</v>
      </c>
      <c r="K78" s="15"/>
      <c r="L78" s="129"/>
      <c r="M78" s="19" t="str">
        <f>IF(K78&gt;0,(K78*VLOOKUP(Lookups!$K$11,Lookups!$M$10:$P$40,4,0)/VLOOKUP(L78,Lookups!$M$10:$P$40,4,0)),"")</f>
        <v/>
      </c>
      <c r="N78" s="15"/>
      <c r="O78" s="129"/>
      <c r="P78" s="19" t="str">
        <f>IF(N78&gt;0,(N78*VLOOKUP(Lookups!$K$11,Lookups!$M$10:$P$40,4,0)/VLOOKUP(O78,Lookups!$M$10:$P$40,4,0)),"")</f>
        <v/>
      </c>
      <c r="Q78" s="77" t="s">
        <v>2222</v>
      </c>
      <c r="R78" s="17" t="s">
        <v>621</v>
      </c>
      <c r="S78" s="47" t="s">
        <v>2223</v>
      </c>
      <c r="T78" s="4" t="s">
        <v>1912</v>
      </c>
      <c r="U78" s="110" t="s">
        <v>417</v>
      </c>
    </row>
    <row r="79" spans="1:21" s="58" customFormat="1" ht="60" customHeight="1" collapsed="1" x14ac:dyDescent="0.2">
      <c r="A79" s="42" t="s">
        <v>703</v>
      </c>
      <c r="B79" s="42" t="s">
        <v>1182</v>
      </c>
      <c r="C79" s="42" t="s">
        <v>1181</v>
      </c>
      <c r="D79" s="42" t="s">
        <v>1184</v>
      </c>
      <c r="E79" s="13" t="s">
        <v>630</v>
      </c>
      <c r="F79" s="13" t="s">
        <v>629</v>
      </c>
      <c r="G79" s="37" t="s">
        <v>1384</v>
      </c>
      <c r="H79" s="15">
        <v>136</v>
      </c>
      <c r="I79" s="129" t="s">
        <v>726</v>
      </c>
      <c r="J79" s="19">
        <f>IF(H79&gt;0,(H79*VLOOKUP(Lookups!$K$11,Lookups!$M$10:$P$40,4,0)/VLOOKUP(I79,Lookups!$M$10:$P$40,4,0)),"")</f>
        <v>143.22584085264</v>
      </c>
      <c r="K79" s="15"/>
      <c r="L79" s="129"/>
      <c r="M79" s="19" t="str">
        <f>IF(K79&gt;0,(K79*VLOOKUP(Lookups!$K$11,Lookups!$M$10:$P$40,4,0)/VLOOKUP(L79,Lookups!$M$10:$P$40,4,0)),"")</f>
        <v/>
      </c>
      <c r="N79" s="15"/>
      <c r="O79" s="129"/>
      <c r="P79" s="19" t="str">
        <f>IF(N79&gt;0,(N79*VLOOKUP(Lookups!$K$11,Lookups!$M$10:$P$40,4,0)/VLOOKUP(O79,Lookups!$M$10:$P$40,4,0)),"")</f>
        <v/>
      </c>
      <c r="Q79" s="77" t="s">
        <v>1185</v>
      </c>
      <c r="R79" s="17" t="s">
        <v>621</v>
      </c>
      <c r="S79" s="13" t="s">
        <v>2370</v>
      </c>
      <c r="T79" s="4"/>
      <c r="U79" s="110"/>
    </row>
    <row r="80" spans="1:21" s="58" customFormat="1" ht="60" hidden="1" customHeight="1" outlineLevel="1" x14ac:dyDescent="0.2">
      <c r="A80" s="46" t="s">
        <v>703</v>
      </c>
      <c r="B80" s="54" t="s">
        <v>1182</v>
      </c>
      <c r="C80" s="46" t="s">
        <v>1880</v>
      </c>
      <c r="D80" s="46" t="s">
        <v>1186</v>
      </c>
      <c r="E80" s="13" t="s">
        <v>630</v>
      </c>
      <c r="F80" s="13" t="s">
        <v>629</v>
      </c>
      <c r="G80" s="37" t="s">
        <v>1384</v>
      </c>
      <c r="H80" s="15">
        <v>132</v>
      </c>
      <c r="I80" s="129" t="s">
        <v>726</v>
      </c>
      <c r="J80" s="19">
        <f>IF(H80&gt;0,(H80*VLOOKUP(Lookups!$K$11,Lookups!$M$10:$P$40,4,0)/VLOOKUP(I80,Lookups!$M$10:$P$40,4,0)),"")</f>
        <v>139.01331612167999</v>
      </c>
      <c r="K80" s="15"/>
      <c r="L80" s="129"/>
      <c r="M80" s="19" t="str">
        <f>IF(K80&gt;0,(K80*VLOOKUP(Lookups!$K$11,Lookups!$M$10:$P$40,4,0)/VLOOKUP(L80,Lookups!$M$10:$P$40,4,0)),"")</f>
        <v/>
      </c>
      <c r="N80" s="15"/>
      <c r="O80" s="129"/>
      <c r="P80" s="19" t="str">
        <f>IF(N80&gt;0,(N80*VLOOKUP(Lookups!$K$11,Lookups!$M$10:$P$40,4,0)/VLOOKUP(O80,Lookups!$M$10:$P$40,4,0)),"")</f>
        <v/>
      </c>
      <c r="Q80" s="77" t="s">
        <v>1185</v>
      </c>
      <c r="R80" s="17" t="s">
        <v>621</v>
      </c>
      <c r="S80" s="13" t="s">
        <v>2371</v>
      </c>
      <c r="T80" s="4"/>
      <c r="U80" s="110"/>
    </row>
    <row r="81" spans="1:21" s="58" customFormat="1" ht="60" hidden="1" customHeight="1" outlineLevel="1" x14ac:dyDescent="0.2">
      <c r="A81" s="46" t="s">
        <v>703</v>
      </c>
      <c r="B81" s="54" t="s">
        <v>1182</v>
      </c>
      <c r="C81" s="46" t="s">
        <v>1881</v>
      </c>
      <c r="D81" s="46" t="s">
        <v>1187</v>
      </c>
      <c r="E81" s="13" t="s">
        <v>630</v>
      </c>
      <c r="F81" s="13" t="s">
        <v>629</v>
      </c>
      <c r="G81" s="37" t="s">
        <v>1384</v>
      </c>
      <c r="H81" s="15">
        <v>252</v>
      </c>
      <c r="I81" s="129" t="s">
        <v>726</v>
      </c>
      <c r="J81" s="19">
        <f>IF(H81&gt;0,(H81*VLOOKUP(Lookups!$K$11,Lookups!$M$10:$P$40,4,0)/VLOOKUP(I81,Lookups!$M$10:$P$40,4,0)),"")</f>
        <v>265.38905805048</v>
      </c>
      <c r="K81" s="15"/>
      <c r="L81" s="129"/>
      <c r="M81" s="19" t="str">
        <f>IF(K81&gt;0,(K81*VLOOKUP(Lookups!$K$11,Lookups!$M$10:$P$40,4,0)/VLOOKUP(L81,Lookups!$M$10:$P$40,4,0)),"")</f>
        <v/>
      </c>
      <c r="N81" s="15"/>
      <c r="O81" s="129"/>
      <c r="P81" s="19" t="str">
        <f>IF(N81&gt;0,(N81*VLOOKUP(Lookups!$K$11,Lookups!$M$10:$P$40,4,0)/VLOOKUP(O81,Lookups!$M$10:$P$40,4,0)),"")</f>
        <v/>
      </c>
      <c r="Q81" s="77" t="s">
        <v>1185</v>
      </c>
      <c r="R81" s="17" t="s">
        <v>621</v>
      </c>
      <c r="S81" s="13" t="s">
        <v>2372</v>
      </c>
      <c r="T81" s="4"/>
      <c r="U81" s="110"/>
    </row>
    <row r="82" spans="1:21" s="58" customFormat="1" ht="60" hidden="1" customHeight="1" outlineLevel="1" x14ac:dyDescent="0.2">
      <c r="A82" s="46" t="s">
        <v>703</v>
      </c>
      <c r="B82" s="54" t="s">
        <v>1182</v>
      </c>
      <c r="C82" s="46" t="s">
        <v>1882</v>
      </c>
      <c r="D82" s="46" t="s">
        <v>1188</v>
      </c>
      <c r="E82" s="13" t="s">
        <v>630</v>
      </c>
      <c r="F82" s="13" t="s">
        <v>629</v>
      </c>
      <c r="G82" s="37" t="s">
        <v>1384</v>
      </c>
      <c r="H82" s="15">
        <v>219</v>
      </c>
      <c r="I82" s="129" t="s">
        <v>726</v>
      </c>
      <c r="J82" s="19">
        <f>IF(H82&gt;0,(H82*VLOOKUP(Lookups!$K$11,Lookups!$M$10:$P$40,4,0)/VLOOKUP(I82,Lookups!$M$10:$P$40,4,0)),"")</f>
        <v>230.63572902005998</v>
      </c>
      <c r="K82" s="15"/>
      <c r="L82" s="129"/>
      <c r="M82" s="19" t="str">
        <f>IF(K82&gt;0,(K82*VLOOKUP(Lookups!$K$11,Lookups!$M$10:$P$40,4,0)/VLOOKUP(L82,Lookups!$M$10:$P$40,4,0)),"")</f>
        <v/>
      </c>
      <c r="N82" s="15"/>
      <c r="O82" s="129"/>
      <c r="P82" s="19" t="str">
        <f>IF(N82&gt;0,(N82*VLOOKUP(Lookups!$K$11,Lookups!$M$10:$P$40,4,0)/VLOOKUP(O82,Lookups!$M$10:$P$40,4,0)),"")</f>
        <v/>
      </c>
      <c r="Q82" s="77" t="s">
        <v>1185</v>
      </c>
      <c r="R82" s="17" t="s">
        <v>621</v>
      </c>
      <c r="S82" s="13" t="s">
        <v>2373</v>
      </c>
      <c r="T82" s="4"/>
      <c r="U82" s="110"/>
    </row>
    <row r="83" spans="1:21" s="58" customFormat="1" ht="60" hidden="1" customHeight="1" outlineLevel="1" x14ac:dyDescent="0.2">
      <c r="A83" s="46" t="s">
        <v>703</v>
      </c>
      <c r="B83" s="54" t="s">
        <v>1182</v>
      </c>
      <c r="C83" s="46" t="s">
        <v>1883</v>
      </c>
      <c r="D83" s="46" t="s">
        <v>1189</v>
      </c>
      <c r="E83" s="13" t="s">
        <v>631</v>
      </c>
      <c r="F83" s="13" t="s">
        <v>629</v>
      </c>
      <c r="G83" s="37" t="s">
        <v>1384</v>
      </c>
      <c r="H83" s="15">
        <v>513</v>
      </c>
      <c r="I83" s="129" t="s">
        <v>726</v>
      </c>
      <c r="J83" s="19">
        <f>IF(H83&gt;0,(H83*VLOOKUP(Lookups!$K$11,Lookups!$M$10:$P$40,4,0)/VLOOKUP(I83,Lookups!$M$10:$P$40,4,0)),"")</f>
        <v>540.25629674561992</v>
      </c>
      <c r="K83" s="15"/>
      <c r="L83" s="129"/>
      <c r="M83" s="19" t="str">
        <f>IF(K83&gt;0,(K83*VLOOKUP(Lookups!$K$11,Lookups!$M$10:$P$40,4,0)/VLOOKUP(L83,Lookups!$M$10:$P$40,4,0)),"")</f>
        <v/>
      </c>
      <c r="N83" s="15"/>
      <c r="O83" s="129"/>
      <c r="P83" s="19" t="str">
        <f>IF(N83&gt;0,(N83*VLOOKUP(Lookups!$K$11,Lookups!$M$10:$P$40,4,0)/VLOOKUP(O83,Lookups!$M$10:$P$40,4,0)),"")</f>
        <v/>
      </c>
      <c r="Q83" s="77" t="s">
        <v>1185</v>
      </c>
      <c r="R83" s="17" t="s">
        <v>621</v>
      </c>
      <c r="S83" s="13" t="s">
        <v>2374</v>
      </c>
      <c r="T83" s="4"/>
      <c r="U83" s="110"/>
    </row>
    <row r="84" spans="1:21" s="58" customFormat="1" ht="60" hidden="1" customHeight="1" outlineLevel="1" collapsed="1" x14ac:dyDescent="0.2">
      <c r="A84" s="46" t="s">
        <v>703</v>
      </c>
      <c r="B84" s="46" t="s">
        <v>1182</v>
      </c>
      <c r="C84" s="46" t="s">
        <v>1884</v>
      </c>
      <c r="D84" s="46" t="s">
        <v>1212</v>
      </c>
      <c r="E84" s="13" t="s">
        <v>631</v>
      </c>
      <c r="F84" s="13" t="s">
        <v>629</v>
      </c>
      <c r="G84" s="37" t="s">
        <v>1384</v>
      </c>
      <c r="H84" s="15">
        <v>590</v>
      </c>
      <c r="I84" s="129" t="s">
        <v>727</v>
      </c>
      <c r="J84" s="19">
        <f>IF(H84&gt;0,(H84*VLOOKUP(Lookups!$K$11,Lookups!$M$10:$P$40,4,0)/VLOOKUP(I84,Lookups!$M$10:$P$40,4,0)),"")</f>
        <v>608.43041999999991</v>
      </c>
      <c r="K84" s="15"/>
      <c r="L84" s="129"/>
      <c r="M84" s="19" t="str">
        <f>IF(K84&gt;0,(K84*VLOOKUP(Lookups!$K$11,Lookups!$M$10:$P$40,4,0)/VLOOKUP(L84,Lookups!$M$10:$P$40,4,0)),"")</f>
        <v/>
      </c>
      <c r="N84" s="15"/>
      <c r="O84" s="129"/>
      <c r="P84" s="19" t="str">
        <f>IF(N84&gt;0,(N84*VLOOKUP(Lookups!$K$11,Lookups!$M$10:$P$40,4,0)/VLOOKUP(O84,Lookups!$M$10:$P$40,4,0)),"")</f>
        <v/>
      </c>
      <c r="Q84" s="77" t="s">
        <v>2243</v>
      </c>
      <c r="R84" s="17" t="s">
        <v>621</v>
      </c>
      <c r="S84" s="13" t="s">
        <v>2356</v>
      </c>
      <c r="T84" s="13" t="s">
        <v>1912</v>
      </c>
      <c r="U84" s="110" t="s">
        <v>2242</v>
      </c>
    </row>
    <row r="85" spans="1:21" s="58" customFormat="1" ht="60" customHeight="1" x14ac:dyDescent="0.2">
      <c r="A85" s="42" t="s">
        <v>703</v>
      </c>
      <c r="B85" s="42" t="s">
        <v>1190</v>
      </c>
      <c r="C85" s="42" t="s">
        <v>1183</v>
      </c>
      <c r="D85" s="42" t="s">
        <v>1192</v>
      </c>
      <c r="E85" s="13" t="s">
        <v>1368</v>
      </c>
      <c r="F85" s="13" t="s">
        <v>679</v>
      </c>
      <c r="G85" s="13" t="s">
        <v>629</v>
      </c>
      <c r="H85" s="15">
        <v>2046</v>
      </c>
      <c r="I85" s="129" t="s">
        <v>726</v>
      </c>
      <c r="J85" s="19">
        <f>IF(H85&gt;0,(H85*VLOOKUP(Lookups!$K$11,Lookups!$M$10:$P$40,4,0)/VLOOKUP(I85,Lookups!$M$10:$P$40,4,0)),"")</f>
        <v>2154.7063998860399</v>
      </c>
      <c r="K85" s="15"/>
      <c r="L85" s="129"/>
      <c r="M85" s="19" t="str">
        <f>IF(K85&gt;0,(K85*VLOOKUP(Lookups!$K$11,Lookups!$M$10:$P$40,4,0)/VLOOKUP(L85,Lookups!$M$10:$P$40,4,0)),"")</f>
        <v/>
      </c>
      <c r="N85" s="15"/>
      <c r="O85" s="129"/>
      <c r="P85" s="19" t="str">
        <f>IF(N85&gt;0,(N85*VLOOKUP(Lookups!$K$11,Lookups!$M$10:$P$40,4,0)/VLOOKUP(O85,Lookups!$M$10:$P$40,4,0)),"")</f>
        <v/>
      </c>
      <c r="Q85" s="16" t="s">
        <v>1445</v>
      </c>
      <c r="R85" s="17" t="s">
        <v>621</v>
      </c>
      <c r="S85" s="13" t="s">
        <v>479</v>
      </c>
      <c r="T85" s="4"/>
      <c r="U85" s="120" t="s">
        <v>2226</v>
      </c>
    </row>
    <row r="86" spans="1:21" s="58" customFormat="1" ht="60" customHeight="1" collapsed="1" x14ac:dyDescent="0.2">
      <c r="A86" s="42" t="s">
        <v>703</v>
      </c>
      <c r="B86" s="42" t="s">
        <v>1193</v>
      </c>
      <c r="C86" s="42" t="s">
        <v>1191</v>
      </c>
      <c r="D86" s="42" t="s">
        <v>1195</v>
      </c>
      <c r="E86" s="13" t="s">
        <v>631</v>
      </c>
      <c r="F86" s="13" t="s">
        <v>679</v>
      </c>
      <c r="G86" s="37" t="s">
        <v>1347</v>
      </c>
      <c r="H86" s="15">
        <f>192.8/3*2</f>
        <v>128.53333333333333</v>
      </c>
      <c r="I86" s="129" t="s">
        <v>727</v>
      </c>
      <c r="J86" s="19">
        <f>IF(H86&gt;0,(H86*VLOOKUP(Lookups!$K$11,Lookups!$M$10:$P$40,4,0)/VLOOKUP(I86,Lookups!$M$10:$P$40,4,0)),"")</f>
        <v>132.54845759999998</v>
      </c>
      <c r="K86" s="15">
        <f>192.8/3</f>
        <v>64.266666666666666</v>
      </c>
      <c r="L86" s="129" t="s">
        <v>727</v>
      </c>
      <c r="M86" s="19">
        <f>IF(K86&gt;0,(K86*VLOOKUP(Lookups!$K$11,Lookups!$M$10:$P$40,4,0)/VLOOKUP(L86,Lookups!$M$10:$P$40,4,0)),"")</f>
        <v>66.274228799999989</v>
      </c>
      <c r="N86" s="15"/>
      <c r="O86" s="129"/>
      <c r="P86" s="19" t="str">
        <f>IF(N86&gt;0,(N86*VLOOKUP(Lookups!$K$11,Lookups!$M$10:$P$40,4,0)/VLOOKUP(O86,Lookups!$M$10:$P$40,4,0)),"")</f>
        <v/>
      </c>
      <c r="Q86" s="96" t="s">
        <v>2219</v>
      </c>
      <c r="R86" s="17" t="s">
        <v>619</v>
      </c>
      <c r="S86" s="47" t="s">
        <v>480</v>
      </c>
      <c r="T86" s="13" t="s">
        <v>1912</v>
      </c>
      <c r="U86" s="13" t="s">
        <v>2220</v>
      </c>
    </row>
    <row r="87" spans="1:21" s="58" customFormat="1" ht="60" hidden="1" customHeight="1" outlineLevel="1" x14ac:dyDescent="0.2">
      <c r="A87" s="46" t="s">
        <v>703</v>
      </c>
      <c r="B87" s="46" t="s">
        <v>1193</v>
      </c>
      <c r="C87" s="46" t="s">
        <v>1885</v>
      </c>
      <c r="D87" s="46" t="s">
        <v>1197</v>
      </c>
      <c r="E87" s="13" t="s">
        <v>631</v>
      </c>
      <c r="F87" s="13" t="s">
        <v>679</v>
      </c>
      <c r="G87" s="37" t="s">
        <v>1347</v>
      </c>
      <c r="H87" s="15">
        <f>218.8/3*2</f>
        <v>145.86666666666667</v>
      </c>
      <c r="I87" s="129" t="s">
        <v>727</v>
      </c>
      <c r="J87" s="19">
        <f>IF(H87&gt;0,(H87*VLOOKUP(Lookups!$K$11,Lookups!$M$10:$P$40,4,0)/VLOOKUP(I87,Lookups!$M$10:$P$40,4,0)),"")</f>
        <v>150.42324959999999</v>
      </c>
      <c r="K87" s="15">
        <f>218.8/3</f>
        <v>72.933333333333337</v>
      </c>
      <c r="L87" s="129" t="s">
        <v>727</v>
      </c>
      <c r="M87" s="19">
        <f>IF(K87&gt;0,(K87*VLOOKUP(Lookups!$K$11,Lookups!$M$10:$P$40,4,0)/VLOOKUP(L87,Lookups!$M$10:$P$40,4,0)),"")</f>
        <v>75.211624799999996</v>
      </c>
      <c r="N87" s="15"/>
      <c r="O87" s="129"/>
      <c r="P87" s="19" t="str">
        <f>IF(N87&gt;0,(N87*VLOOKUP(Lookups!$K$11,Lookups!$M$10:$P$40,4,0)/VLOOKUP(O87,Lookups!$M$10:$P$40,4,0)),"")</f>
        <v/>
      </c>
      <c r="Q87" s="96" t="s">
        <v>2219</v>
      </c>
      <c r="R87" s="17" t="s">
        <v>619</v>
      </c>
      <c r="S87" s="47" t="s">
        <v>481</v>
      </c>
      <c r="T87" s="13" t="s">
        <v>1912</v>
      </c>
      <c r="U87" s="13" t="s">
        <v>2220</v>
      </c>
    </row>
    <row r="88" spans="1:21" s="58" customFormat="1" ht="60" hidden="1" customHeight="1" outlineLevel="1" x14ac:dyDescent="0.2">
      <c r="A88" s="46" t="s">
        <v>703</v>
      </c>
      <c r="B88" s="46" t="s">
        <v>1193</v>
      </c>
      <c r="C88" s="46" t="s">
        <v>1886</v>
      </c>
      <c r="D88" s="46" t="s">
        <v>1199</v>
      </c>
      <c r="E88" s="13" t="s">
        <v>628</v>
      </c>
      <c r="F88" s="13" t="s">
        <v>679</v>
      </c>
      <c r="G88" s="37" t="s">
        <v>1347</v>
      </c>
      <c r="H88" s="50">
        <f>37/3*2</f>
        <v>24.666666666666668</v>
      </c>
      <c r="I88" s="129" t="s">
        <v>727</v>
      </c>
      <c r="J88" s="19">
        <f>IF(H88&gt;0,(H88*VLOOKUP(Lookups!$K$11,Lookups!$M$10:$P$40,4,0)/VLOOKUP(I88,Lookups!$M$10:$P$40,4,0)),"")</f>
        <v>25.437203999999998</v>
      </c>
      <c r="K88" s="50">
        <f>37/3</f>
        <v>12.333333333333334</v>
      </c>
      <c r="L88" s="129" t="s">
        <v>727</v>
      </c>
      <c r="M88" s="19">
        <f>IF(K88&gt;0,(K88*VLOOKUP(Lookups!$K$11,Lookups!$M$10:$P$40,4,0)/VLOOKUP(L88,Lookups!$M$10:$P$40,4,0)),"")</f>
        <v>12.718601999999999</v>
      </c>
      <c r="N88" s="50"/>
      <c r="O88" s="129"/>
      <c r="P88" s="19" t="str">
        <f>IF(N88&gt;0,(N88*VLOOKUP(Lookups!$K$11,Lookups!$M$10:$P$40,4,0)/VLOOKUP(O88,Lookups!$M$10:$P$40,4,0)),"")</f>
        <v/>
      </c>
      <c r="Q88" s="77" t="s">
        <v>2409</v>
      </c>
      <c r="R88" s="17" t="s">
        <v>621</v>
      </c>
      <c r="S88" s="13" t="s">
        <v>2410</v>
      </c>
      <c r="T88" s="13" t="s">
        <v>1912</v>
      </c>
      <c r="U88" s="13" t="s">
        <v>2220</v>
      </c>
    </row>
    <row r="89" spans="1:21" s="58" customFormat="1" ht="60" hidden="1" customHeight="1" outlineLevel="1" x14ac:dyDescent="0.2">
      <c r="A89" s="46" t="s">
        <v>703</v>
      </c>
      <c r="B89" s="46" t="s">
        <v>1193</v>
      </c>
      <c r="C89" s="46" t="s">
        <v>1887</v>
      </c>
      <c r="D89" s="46" t="s">
        <v>1200</v>
      </c>
      <c r="E89" s="13" t="s">
        <v>631</v>
      </c>
      <c r="F89" s="13" t="s">
        <v>679</v>
      </c>
      <c r="G89" s="37" t="s">
        <v>1347</v>
      </c>
      <c r="H89" s="15">
        <v>95</v>
      </c>
      <c r="I89" s="129" t="s">
        <v>727</v>
      </c>
      <c r="J89" s="19">
        <f>IF(H89&gt;0,(H89*VLOOKUP(Lookups!$K$11,Lookups!$M$10:$P$40,4,0)/VLOOKUP(I89,Lookups!$M$10:$P$40,4,0)),"")</f>
        <v>97.967609999999993</v>
      </c>
      <c r="K89" s="15"/>
      <c r="L89" s="129"/>
      <c r="M89" s="19" t="str">
        <f>IF(K89&gt;0,(K89*VLOOKUP(Lookups!$K$11,Lookups!$M$10:$P$40,4,0)/VLOOKUP(L89,Lookups!$M$10:$P$40,4,0)),"")</f>
        <v/>
      </c>
      <c r="N89" s="15"/>
      <c r="O89" s="129"/>
      <c r="P89" s="19" t="str">
        <f>IF(N89&gt;0,(N89*VLOOKUP(Lookups!$K$11,Lookups!$M$10:$P$40,4,0)/VLOOKUP(O89,Lookups!$M$10:$P$40,4,0)),"")</f>
        <v/>
      </c>
      <c r="Q89" s="77" t="s">
        <v>2411</v>
      </c>
      <c r="R89" s="17" t="s">
        <v>621</v>
      </c>
      <c r="S89" s="13" t="s">
        <v>2412</v>
      </c>
      <c r="T89" s="13" t="s">
        <v>1912</v>
      </c>
      <c r="U89" s="110" t="s">
        <v>2242</v>
      </c>
    </row>
    <row r="90" spans="1:21" s="58" customFormat="1" ht="60" hidden="1" customHeight="1" outlineLevel="1" x14ac:dyDescent="0.2">
      <c r="A90" s="46" t="s">
        <v>703</v>
      </c>
      <c r="B90" s="46" t="s">
        <v>1193</v>
      </c>
      <c r="C90" s="46" t="s">
        <v>1888</v>
      </c>
      <c r="D90" s="46" t="s">
        <v>1201</v>
      </c>
      <c r="E90" s="13" t="s">
        <v>631</v>
      </c>
      <c r="F90" s="13" t="s">
        <v>679</v>
      </c>
      <c r="G90" s="37" t="s">
        <v>1347</v>
      </c>
      <c r="H90" s="15">
        <v>219</v>
      </c>
      <c r="I90" s="129" t="s">
        <v>727</v>
      </c>
      <c r="J90" s="19">
        <f>IF(H90&gt;0,(H90*VLOOKUP(Lookups!$K$11,Lookups!$M$10:$P$40,4,0)/VLOOKUP(I90,Lookups!$M$10:$P$40,4,0)),"")</f>
        <v>225.84112199999996</v>
      </c>
      <c r="K90" s="15"/>
      <c r="L90" s="129"/>
      <c r="M90" s="19" t="str">
        <f>IF(K90&gt;0,(K90*VLOOKUP(Lookups!$K$11,Lookups!$M$10:$P$40,4,0)/VLOOKUP(L90,Lookups!$M$10:$P$40,4,0)),"")</f>
        <v/>
      </c>
      <c r="N90" s="15"/>
      <c r="O90" s="129"/>
      <c r="P90" s="19" t="str">
        <f>IF(N90&gt;0,(N90*VLOOKUP(Lookups!$K$11,Lookups!$M$10:$P$40,4,0)/VLOOKUP(O90,Lookups!$M$10:$P$40,4,0)),"")</f>
        <v/>
      </c>
      <c r="Q90" s="77" t="s">
        <v>2413</v>
      </c>
      <c r="R90" s="17" t="s">
        <v>621</v>
      </c>
      <c r="S90" s="13" t="s">
        <v>2434</v>
      </c>
      <c r="T90" s="13" t="s">
        <v>1912</v>
      </c>
      <c r="U90" s="110" t="s">
        <v>2242</v>
      </c>
    </row>
    <row r="91" spans="1:21" s="58" customFormat="1" ht="60" hidden="1" customHeight="1" outlineLevel="1" x14ac:dyDescent="0.2">
      <c r="A91" s="46" t="s">
        <v>703</v>
      </c>
      <c r="B91" s="46" t="s">
        <v>1193</v>
      </c>
      <c r="C91" s="46" t="s">
        <v>1889</v>
      </c>
      <c r="D91" s="46" t="s">
        <v>1202</v>
      </c>
      <c r="E91" s="13" t="s">
        <v>631</v>
      </c>
      <c r="F91" s="13" t="s">
        <v>679</v>
      </c>
      <c r="G91" s="37" t="s">
        <v>1347</v>
      </c>
      <c r="H91" s="15">
        <v>370</v>
      </c>
      <c r="I91" s="129" t="s">
        <v>727</v>
      </c>
      <c r="J91" s="19">
        <f>IF(H91&gt;0,(H91*VLOOKUP(Lookups!$K$11,Lookups!$M$10:$P$40,4,0)/VLOOKUP(I91,Lookups!$M$10:$P$40,4,0)),"")</f>
        <v>381.55805999999995</v>
      </c>
      <c r="K91" s="15"/>
      <c r="L91" s="129"/>
      <c r="M91" s="19" t="str">
        <f>IF(K91&gt;0,(K91*VLOOKUP(Lookups!$K$11,Lookups!$M$10:$P$40,4,0)/VLOOKUP(L91,Lookups!$M$10:$P$40,4,0)),"")</f>
        <v/>
      </c>
      <c r="N91" s="15"/>
      <c r="O91" s="129"/>
      <c r="P91" s="19" t="str">
        <f>IF(N91&gt;0,(N91*VLOOKUP(Lookups!$K$11,Lookups!$M$10:$P$40,4,0)/VLOOKUP(O91,Lookups!$M$10:$P$40,4,0)),"")</f>
        <v/>
      </c>
      <c r="Q91" s="77" t="s">
        <v>2414</v>
      </c>
      <c r="R91" s="17" t="s">
        <v>621</v>
      </c>
      <c r="S91" s="13" t="s">
        <v>2435</v>
      </c>
      <c r="T91" s="13" t="s">
        <v>1912</v>
      </c>
      <c r="U91" s="110" t="s">
        <v>2242</v>
      </c>
    </row>
    <row r="92" spans="1:21" s="58" customFormat="1" ht="60" hidden="1" customHeight="1" outlineLevel="1" x14ac:dyDescent="0.2">
      <c r="A92" s="46" t="s">
        <v>703</v>
      </c>
      <c r="B92" s="46" t="s">
        <v>1193</v>
      </c>
      <c r="C92" s="46" t="s">
        <v>1890</v>
      </c>
      <c r="D92" s="46" t="s">
        <v>1203</v>
      </c>
      <c r="E92" s="13" t="s">
        <v>631</v>
      </c>
      <c r="F92" s="13" t="s">
        <v>679</v>
      </c>
      <c r="G92" s="37" t="s">
        <v>1347</v>
      </c>
      <c r="H92" s="15">
        <v>877</v>
      </c>
      <c r="I92" s="129" t="s">
        <v>727</v>
      </c>
      <c r="J92" s="19">
        <f>IF(H92&gt;0,(H92*VLOOKUP(Lookups!$K$11,Lookups!$M$10:$P$40,4,0)/VLOOKUP(I92,Lookups!$M$10:$P$40,4,0)),"")</f>
        <v>904.39572599999985</v>
      </c>
      <c r="K92" s="15"/>
      <c r="L92" s="129"/>
      <c r="M92" s="19" t="str">
        <f>IF(K92&gt;0,(K92*VLOOKUP(Lookups!$K$11,Lookups!$M$10:$P$40,4,0)/VLOOKUP(L92,Lookups!$M$10:$P$40,4,0)),"")</f>
        <v/>
      </c>
      <c r="N92" s="15"/>
      <c r="O92" s="129"/>
      <c r="P92" s="19" t="str">
        <f>IF(N92&gt;0,(N92*VLOOKUP(Lookups!$K$11,Lookups!$M$10:$P$40,4,0)/VLOOKUP(O92,Lookups!$M$10:$P$40,4,0)),"")</f>
        <v/>
      </c>
      <c r="Q92" s="77" t="s">
        <v>2415</v>
      </c>
      <c r="R92" s="17" t="s">
        <v>621</v>
      </c>
      <c r="S92" s="13" t="s">
        <v>2436</v>
      </c>
      <c r="T92" s="13" t="s">
        <v>1912</v>
      </c>
      <c r="U92" s="110" t="s">
        <v>2242</v>
      </c>
    </row>
    <row r="93" spans="1:21" s="58" customFormat="1" ht="60" hidden="1" customHeight="1" outlineLevel="1" x14ac:dyDescent="0.2">
      <c r="A93" s="46" t="s">
        <v>703</v>
      </c>
      <c r="B93" s="46" t="s">
        <v>1193</v>
      </c>
      <c r="C93" s="46" t="s">
        <v>1891</v>
      </c>
      <c r="D93" s="46" t="s">
        <v>1204</v>
      </c>
      <c r="E93" s="13" t="s">
        <v>631</v>
      </c>
      <c r="F93" s="13" t="s">
        <v>679</v>
      </c>
      <c r="G93" s="37" t="s">
        <v>1347</v>
      </c>
      <c r="H93" s="15">
        <v>1141</v>
      </c>
      <c r="I93" s="129" t="s">
        <v>727</v>
      </c>
      <c r="J93" s="19">
        <f>IF(H93&gt;0,(H93*VLOOKUP(Lookups!$K$11,Lookups!$M$10:$P$40,4,0)/VLOOKUP(I93,Lookups!$M$10:$P$40,4,0)),"")</f>
        <v>1176.642558</v>
      </c>
      <c r="K93" s="15"/>
      <c r="L93" s="129"/>
      <c r="M93" s="19" t="str">
        <f>IF(K93&gt;0,(K93*VLOOKUP(Lookups!$K$11,Lookups!$M$10:$P$40,4,0)/VLOOKUP(L93,Lookups!$M$10:$P$40,4,0)),"")</f>
        <v/>
      </c>
      <c r="N93" s="15"/>
      <c r="O93" s="129"/>
      <c r="P93" s="19" t="str">
        <f>IF(N93&gt;0,(N93*VLOOKUP(Lookups!$K$11,Lookups!$M$10:$P$40,4,0)/VLOOKUP(O93,Lookups!$M$10:$P$40,4,0)),"")</f>
        <v/>
      </c>
      <c r="Q93" s="77" t="s">
        <v>2416</v>
      </c>
      <c r="R93" s="17" t="s">
        <v>621</v>
      </c>
      <c r="S93" s="13" t="s">
        <v>2437</v>
      </c>
      <c r="T93" s="13" t="s">
        <v>1912</v>
      </c>
      <c r="U93" s="110" t="s">
        <v>2242</v>
      </c>
    </row>
    <row r="94" spans="1:21" s="58" customFormat="1" ht="60" hidden="1" customHeight="1" outlineLevel="1" x14ac:dyDescent="0.2">
      <c r="A94" s="46" t="s">
        <v>703</v>
      </c>
      <c r="B94" s="46" t="s">
        <v>1193</v>
      </c>
      <c r="C94" s="46" t="s">
        <v>1892</v>
      </c>
      <c r="D94" s="46" t="s">
        <v>1205</v>
      </c>
      <c r="E94" s="13" t="s">
        <v>628</v>
      </c>
      <c r="F94" s="13" t="s">
        <v>679</v>
      </c>
      <c r="G94" s="37" t="s">
        <v>1347</v>
      </c>
      <c r="H94" s="50">
        <v>29</v>
      </c>
      <c r="I94" s="129" t="s">
        <v>664</v>
      </c>
      <c r="J94" s="19">
        <f>IF(H94&gt;0,(H94*VLOOKUP(Lookups!$K$11,Lookups!$M$10:$P$40,4,0)/VLOOKUP(I94,Lookups!$M$10:$P$40,4,0)),"")</f>
        <v>31.589236699420564</v>
      </c>
      <c r="K94" s="50"/>
      <c r="L94" s="129"/>
      <c r="M94" s="19" t="str">
        <f>IF(K94&gt;0,(K94*VLOOKUP(Lookups!$K$11,Lookups!$M$10:$P$40,4,0)/VLOOKUP(L94,Lookups!$M$10:$P$40,4,0)),"")</f>
        <v/>
      </c>
      <c r="N94" s="50"/>
      <c r="O94" s="129"/>
      <c r="P94" s="19" t="str">
        <f>IF(N94&gt;0,(N94*VLOOKUP(Lookups!$K$11,Lookups!$M$10:$P$40,4,0)/VLOOKUP(O94,Lookups!$M$10:$P$40,4,0)),"")</f>
        <v/>
      </c>
      <c r="Q94" s="36" t="s">
        <v>671</v>
      </c>
      <c r="R94" s="17" t="s">
        <v>619</v>
      </c>
      <c r="S94" s="13" t="s">
        <v>1206</v>
      </c>
      <c r="T94" s="4"/>
      <c r="U94" s="110"/>
    </row>
    <row r="95" spans="1:21" s="51" customFormat="1" ht="60" hidden="1" customHeight="1" outlineLevel="1" x14ac:dyDescent="0.2">
      <c r="A95" s="46" t="s">
        <v>703</v>
      </c>
      <c r="B95" s="46" t="s">
        <v>1193</v>
      </c>
      <c r="C95" s="46" t="s">
        <v>1893</v>
      </c>
      <c r="D95" s="46" t="s">
        <v>1207</v>
      </c>
      <c r="E95" s="13" t="s">
        <v>631</v>
      </c>
      <c r="F95" s="13" t="s">
        <v>679</v>
      </c>
      <c r="G95" s="37" t="s">
        <v>1347</v>
      </c>
      <c r="H95" s="15">
        <f>46/3*2</f>
        <v>30.666666666666668</v>
      </c>
      <c r="I95" s="129" t="s">
        <v>727</v>
      </c>
      <c r="J95" s="19">
        <f>IF(H95&gt;0,(H95*VLOOKUP(Lookups!$K$11,Lookups!$M$10:$P$40,4,0)/VLOOKUP(I95,Lookups!$M$10:$P$40,4,0)),"")</f>
        <v>31.624631999999995</v>
      </c>
      <c r="K95" s="15">
        <f>46/3</f>
        <v>15.333333333333334</v>
      </c>
      <c r="L95" s="129" t="s">
        <v>727</v>
      </c>
      <c r="M95" s="19">
        <f>IF(K95&gt;0,(K95*VLOOKUP(Lookups!$K$11,Lookups!$M$10:$P$40,4,0)/VLOOKUP(L95,Lookups!$M$10:$P$40,4,0)),"")</f>
        <v>15.812315999999997</v>
      </c>
      <c r="N95" s="15"/>
      <c r="O95" s="129"/>
      <c r="P95" s="19" t="str">
        <f>IF(N95&gt;0,(N95*VLOOKUP(Lookups!$K$11,Lookups!$M$10:$P$40,4,0)/VLOOKUP(O95,Lookups!$M$10:$P$40,4,0)),"")</f>
        <v/>
      </c>
      <c r="Q95" s="77" t="s">
        <v>2411</v>
      </c>
      <c r="R95" s="17" t="s">
        <v>621</v>
      </c>
      <c r="S95" s="13" t="s">
        <v>2438</v>
      </c>
      <c r="T95" s="13" t="s">
        <v>1912</v>
      </c>
      <c r="U95" s="13" t="s">
        <v>2241</v>
      </c>
    </row>
    <row r="96" spans="1:21" s="58" customFormat="1" ht="60" hidden="1" customHeight="1" outlineLevel="1" x14ac:dyDescent="0.2">
      <c r="A96" s="46" t="s">
        <v>703</v>
      </c>
      <c r="B96" s="46" t="s">
        <v>706</v>
      </c>
      <c r="C96" s="46" t="s">
        <v>1894</v>
      </c>
      <c r="D96" s="46" t="s">
        <v>2439</v>
      </c>
      <c r="E96" s="13" t="s">
        <v>615</v>
      </c>
      <c r="F96" s="13" t="s">
        <v>679</v>
      </c>
      <c r="G96" s="37" t="s">
        <v>1347</v>
      </c>
      <c r="H96" s="50">
        <v>1925</v>
      </c>
      <c r="I96" s="129" t="s">
        <v>727</v>
      </c>
      <c r="J96" s="19">
        <f>IF(H96&gt;0,(H96*VLOOKUP(Lookups!$K$11,Lookups!$M$10:$P$40,4,0)/VLOOKUP(I96,Lookups!$M$10:$P$40,4,0)),"")</f>
        <v>1985.1331499999999</v>
      </c>
      <c r="K96" s="50"/>
      <c r="L96" s="129"/>
      <c r="M96" s="19" t="str">
        <f>IF(K96&gt;0,(K96*VLOOKUP(Lookups!$K$11,Lookups!$M$10:$P$40,4,0)/VLOOKUP(L96,Lookups!$M$10:$P$40,4,0)),"")</f>
        <v/>
      </c>
      <c r="N96" s="50"/>
      <c r="O96" s="129"/>
      <c r="P96" s="19" t="str">
        <f>IF(N96&gt;0,(N96*VLOOKUP(Lookups!$K$11,Lookups!$M$10:$P$40,4,0)/VLOOKUP(O96,Lookups!$M$10:$P$40,4,0)),"")</f>
        <v/>
      </c>
      <c r="Q96" s="77" t="s">
        <v>2440</v>
      </c>
      <c r="R96" s="17" t="s">
        <v>621</v>
      </c>
      <c r="S96" s="13" t="s">
        <v>2441</v>
      </c>
      <c r="T96" s="4" t="s">
        <v>1912</v>
      </c>
      <c r="U96" s="110" t="s">
        <v>2242</v>
      </c>
    </row>
    <row r="97" spans="1:21" s="58" customFormat="1" ht="60" hidden="1" customHeight="1" outlineLevel="1" x14ac:dyDescent="0.2">
      <c r="A97" s="46" t="s">
        <v>703</v>
      </c>
      <c r="B97" s="46" t="s">
        <v>706</v>
      </c>
      <c r="C97" s="46" t="s">
        <v>1895</v>
      </c>
      <c r="D97" s="46" t="s">
        <v>2442</v>
      </c>
      <c r="E97" s="13" t="s">
        <v>615</v>
      </c>
      <c r="F97" s="13" t="s">
        <v>679</v>
      </c>
      <c r="G97" s="37" t="s">
        <v>1347</v>
      </c>
      <c r="H97" s="50">
        <v>120</v>
      </c>
      <c r="I97" s="129" t="s">
        <v>727</v>
      </c>
      <c r="J97" s="19">
        <f>IF(H97&gt;0,(H97*VLOOKUP(Lookups!$K$11,Lookups!$M$10:$P$40,4,0)/VLOOKUP(I97,Lookups!$M$10:$P$40,4,0)),"")</f>
        <v>123.74855999999998</v>
      </c>
      <c r="K97" s="50"/>
      <c r="L97" s="129"/>
      <c r="M97" s="19" t="str">
        <f>IF(K97&gt;0,(K97*VLOOKUP(Lookups!$K$11,Lookups!$M$10:$P$40,4,0)/VLOOKUP(L97,Lookups!$M$10:$P$40,4,0)),"")</f>
        <v/>
      </c>
      <c r="N97" s="50"/>
      <c r="O97" s="129"/>
      <c r="P97" s="19" t="str">
        <f>IF(N97&gt;0,(N97*VLOOKUP(Lookups!$K$11,Lookups!$M$10:$P$40,4,0)/VLOOKUP(O97,Lookups!$M$10:$P$40,4,0)),"")</f>
        <v/>
      </c>
      <c r="Q97" s="77" t="s">
        <v>2443</v>
      </c>
      <c r="R97" s="17" t="s">
        <v>621</v>
      </c>
      <c r="S97" s="13" t="s">
        <v>2444</v>
      </c>
      <c r="T97" s="4" t="s">
        <v>1912</v>
      </c>
      <c r="U97" s="110" t="s">
        <v>2242</v>
      </c>
    </row>
    <row r="98" spans="1:21" s="58" customFormat="1" ht="60" hidden="1" customHeight="1" outlineLevel="1" x14ac:dyDescent="0.2">
      <c r="A98" s="46" t="s">
        <v>703</v>
      </c>
      <c r="B98" s="46" t="s">
        <v>706</v>
      </c>
      <c r="C98" s="46" t="s">
        <v>1896</v>
      </c>
      <c r="D98" s="46" t="s">
        <v>2445</v>
      </c>
      <c r="E98" s="13" t="s">
        <v>615</v>
      </c>
      <c r="F98" s="13" t="s">
        <v>679</v>
      </c>
      <c r="G98" s="37" t="s">
        <v>1347</v>
      </c>
      <c r="H98" s="50">
        <v>28</v>
      </c>
      <c r="I98" s="129" t="s">
        <v>727</v>
      </c>
      <c r="J98" s="19">
        <f>IF(H98&gt;0,(H98*VLOOKUP(Lookups!$K$11,Lookups!$M$10:$P$40,4,0)/VLOOKUP(I98,Lookups!$M$10:$P$40,4,0)),"")</f>
        <v>28.874663999999999</v>
      </c>
      <c r="K98" s="50"/>
      <c r="L98" s="129"/>
      <c r="M98" s="19" t="str">
        <f>IF(K98&gt;0,(K98*VLOOKUP(Lookups!$K$11,Lookups!$M$10:$P$40,4,0)/VLOOKUP(L98,Lookups!$M$10:$P$40,4,0)),"")</f>
        <v/>
      </c>
      <c r="N98" s="50"/>
      <c r="O98" s="129"/>
      <c r="P98" s="19" t="str">
        <f>IF(N98&gt;0,(N98*VLOOKUP(Lookups!$K$11,Lookups!$M$10:$P$40,4,0)/VLOOKUP(O98,Lookups!$M$10:$P$40,4,0)),"")</f>
        <v/>
      </c>
      <c r="Q98" s="77" t="s">
        <v>2443</v>
      </c>
      <c r="R98" s="17" t="s">
        <v>621</v>
      </c>
      <c r="S98" s="13" t="s">
        <v>2446</v>
      </c>
      <c r="T98" s="4" t="s">
        <v>1912</v>
      </c>
      <c r="U98" s="110" t="s">
        <v>2242</v>
      </c>
    </row>
    <row r="99" spans="1:21" s="58" customFormat="1" ht="60" hidden="1" customHeight="1" outlineLevel="1" x14ac:dyDescent="0.2">
      <c r="A99" s="46" t="s">
        <v>703</v>
      </c>
      <c r="B99" s="46" t="s">
        <v>706</v>
      </c>
      <c r="C99" s="46" t="s">
        <v>1897</v>
      </c>
      <c r="D99" s="46" t="s">
        <v>1208</v>
      </c>
      <c r="E99" s="13" t="s">
        <v>615</v>
      </c>
      <c r="F99" s="13" t="s">
        <v>679</v>
      </c>
      <c r="G99" s="37" t="s">
        <v>1347</v>
      </c>
      <c r="H99" s="50">
        <v>2608</v>
      </c>
      <c r="I99" s="129" t="s">
        <v>664</v>
      </c>
      <c r="J99" s="19">
        <f>IF(H99&gt;0,(H99*VLOOKUP(Lookups!$K$11,Lookups!$M$10:$P$40,4,0)/VLOOKUP(I99,Lookups!$M$10:$P$40,4,0)),"")</f>
        <v>2840.8527348996149</v>
      </c>
      <c r="K99" s="50"/>
      <c r="L99" s="129"/>
      <c r="M99" s="19" t="str">
        <f>IF(K99&gt;0,(K99*VLOOKUP(Lookups!$K$11,Lookups!$M$10:$P$40,4,0)/VLOOKUP(L99,Lookups!$M$10:$P$40,4,0)),"")</f>
        <v/>
      </c>
      <c r="N99" s="50"/>
      <c r="O99" s="129"/>
      <c r="P99" s="19" t="str">
        <f>IF(N99&gt;0,(N99*VLOOKUP(Lookups!$K$11,Lookups!$M$10:$P$40,4,0)/VLOOKUP(O99,Lookups!$M$10:$P$40,4,0)),"")</f>
        <v/>
      </c>
      <c r="Q99" s="77" t="s">
        <v>1438</v>
      </c>
      <c r="R99" s="17" t="s">
        <v>621</v>
      </c>
      <c r="S99" s="13" t="s">
        <v>1919</v>
      </c>
      <c r="T99" s="4"/>
      <c r="U99" s="120" t="s">
        <v>2226</v>
      </c>
    </row>
    <row r="100" spans="1:21" s="58" customFormat="1" ht="60" hidden="1" customHeight="1" outlineLevel="1" x14ac:dyDescent="0.2">
      <c r="A100" s="46" t="s">
        <v>703</v>
      </c>
      <c r="B100" s="46" t="s">
        <v>706</v>
      </c>
      <c r="C100" s="46" t="s">
        <v>1898</v>
      </c>
      <c r="D100" s="46" t="s">
        <v>1209</v>
      </c>
      <c r="E100" s="13" t="s">
        <v>615</v>
      </c>
      <c r="F100" s="13" t="s">
        <v>679</v>
      </c>
      <c r="G100" s="37" t="s">
        <v>1347</v>
      </c>
      <c r="H100" s="50">
        <v>665</v>
      </c>
      <c r="I100" s="129" t="s">
        <v>664</v>
      </c>
      <c r="J100" s="19">
        <f>IF(H100&gt;0,(H100*VLOOKUP(Lookups!$K$11,Lookups!$M$10:$P$40,4,0)/VLOOKUP(I100,Lookups!$M$10:$P$40,4,0)),"")</f>
        <v>724.37387603843706</v>
      </c>
      <c r="K100" s="50"/>
      <c r="L100" s="129"/>
      <c r="M100" s="19" t="str">
        <f>IF(K100&gt;0,(K100*VLOOKUP(Lookups!$K$11,Lookups!$M$10:$P$40,4,0)/VLOOKUP(L100,Lookups!$M$10:$P$40,4,0)),"")</f>
        <v/>
      </c>
      <c r="N100" s="50"/>
      <c r="O100" s="129"/>
      <c r="P100" s="19" t="str">
        <f>IF(N100&gt;0,(N100*VLOOKUP(Lookups!$K$11,Lookups!$M$10:$P$40,4,0)/VLOOKUP(O100,Lookups!$M$10:$P$40,4,0)),"")</f>
        <v/>
      </c>
      <c r="Q100" s="77" t="s">
        <v>1438</v>
      </c>
      <c r="R100" s="17" t="s">
        <v>621</v>
      </c>
      <c r="S100" s="13" t="s">
        <v>1509</v>
      </c>
      <c r="T100" s="4"/>
      <c r="U100" s="120" t="s">
        <v>2226</v>
      </c>
    </row>
    <row r="101" spans="1:21" s="58" customFormat="1" ht="60" hidden="1" customHeight="1" outlineLevel="1" x14ac:dyDescent="0.2">
      <c r="A101" s="46" t="s">
        <v>703</v>
      </c>
      <c r="B101" s="46" t="s">
        <v>706</v>
      </c>
      <c r="C101" s="46" t="s">
        <v>1899</v>
      </c>
      <c r="D101" s="46" t="s">
        <v>1210</v>
      </c>
      <c r="E101" s="13" t="s">
        <v>634</v>
      </c>
      <c r="F101" s="13" t="s">
        <v>629</v>
      </c>
      <c r="G101" s="13" t="s">
        <v>225</v>
      </c>
      <c r="H101" s="50">
        <v>424</v>
      </c>
      <c r="I101" s="129" t="s">
        <v>727</v>
      </c>
      <c r="J101" s="19">
        <f>IF(H101&gt;0,(H101*VLOOKUP(Lookups!$K$11,Lookups!$M$10:$P$40,4,0)/VLOOKUP(I101,Lookups!$M$10:$P$40,4,0)),"")</f>
        <v>437.24491199999994</v>
      </c>
      <c r="K101" s="50"/>
      <c r="L101" s="129"/>
      <c r="M101" s="19" t="str">
        <f>IF(K101&gt;0,(K101*VLOOKUP(Lookups!$K$11,Lookups!$M$10:$P$40,4,0)/VLOOKUP(L101,Lookups!$M$10:$P$40,4,0)),"")</f>
        <v/>
      </c>
      <c r="N101" s="50"/>
      <c r="O101" s="129"/>
      <c r="P101" s="19" t="str">
        <f>IF(N101&gt;0,(N101*VLOOKUP(Lookups!$K$11,Lookups!$M$10:$P$40,4,0)/VLOOKUP(O101,Lookups!$M$10:$P$40,4,0)),"")</f>
        <v/>
      </c>
      <c r="Q101" s="77" t="s">
        <v>2447</v>
      </c>
      <c r="R101" s="17" t="s">
        <v>621</v>
      </c>
      <c r="S101" s="13" t="s">
        <v>2448</v>
      </c>
      <c r="T101" s="4" t="s">
        <v>1912</v>
      </c>
      <c r="U101" s="110" t="s">
        <v>2242</v>
      </c>
    </row>
    <row r="102" spans="1:21" s="58" customFormat="1" ht="60" hidden="1" customHeight="1" outlineLevel="1" x14ac:dyDescent="0.2">
      <c r="A102" s="46" t="s">
        <v>703</v>
      </c>
      <c r="B102" s="46" t="s">
        <v>706</v>
      </c>
      <c r="C102" s="46" t="s">
        <v>1900</v>
      </c>
      <c r="D102" s="46" t="s">
        <v>1211</v>
      </c>
      <c r="E102" s="13" t="s">
        <v>634</v>
      </c>
      <c r="F102" s="13" t="s">
        <v>629</v>
      </c>
      <c r="G102" s="13" t="s">
        <v>225</v>
      </c>
      <c r="H102" s="15">
        <v>183</v>
      </c>
      <c r="I102" s="129" t="s">
        <v>727</v>
      </c>
      <c r="J102" s="19">
        <f>IF(H102&gt;0,(H102*VLOOKUP(Lookups!$K$11,Lookups!$M$10:$P$40,4,0)/VLOOKUP(I102,Lookups!$M$10:$P$40,4,0)),"")</f>
        <v>188.71655399999997</v>
      </c>
      <c r="K102" s="15"/>
      <c r="L102" s="129"/>
      <c r="M102" s="19" t="str">
        <f>IF(K102&gt;0,(K102*VLOOKUP(Lookups!$K$11,Lookups!$M$10:$P$40,4,0)/VLOOKUP(L102,Lookups!$M$10:$P$40,4,0)),"")</f>
        <v/>
      </c>
      <c r="N102" s="15"/>
      <c r="O102" s="129"/>
      <c r="P102" s="19" t="str">
        <f>IF(N102&gt;0,(N102*VLOOKUP(Lookups!$K$11,Lookups!$M$10:$P$40,4,0)/VLOOKUP(O102,Lookups!$M$10:$P$40,4,0)),"")</f>
        <v/>
      </c>
      <c r="Q102" s="77" t="s">
        <v>2447</v>
      </c>
      <c r="R102" s="17" t="s">
        <v>621</v>
      </c>
      <c r="S102" s="13" t="s">
        <v>2450</v>
      </c>
      <c r="T102" s="4" t="s">
        <v>1912</v>
      </c>
      <c r="U102" s="110" t="s">
        <v>2242</v>
      </c>
    </row>
    <row r="103" spans="1:21" s="58" customFormat="1" ht="60" hidden="1" customHeight="1" outlineLevel="1" x14ac:dyDescent="0.2">
      <c r="A103" s="46" t="s">
        <v>703</v>
      </c>
      <c r="B103" s="46" t="s">
        <v>706</v>
      </c>
      <c r="C103" s="46" t="s">
        <v>1901</v>
      </c>
      <c r="D103" s="46" t="s">
        <v>490</v>
      </c>
      <c r="E103" s="13" t="s">
        <v>634</v>
      </c>
      <c r="F103" s="13" t="s">
        <v>629</v>
      </c>
      <c r="G103" s="13" t="s">
        <v>225</v>
      </c>
      <c r="H103" s="50">
        <v>91</v>
      </c>
      <c r="I103" s="129" t="s">
        <v>727</v>
      </c>
      <c r="J103" s="19">
        <f>IF(H103&gt;0,(H103*VLOOKUP(Lookups!$K$11,Lookups!$M$10:$P$40,4,0)/VLOOKUP(I103,Lookups!$M$10:$P$40,4,0)),"")</f>
        <v>93.842658</v>
      </c>
      <c r="K103" s="50"/>
      <c r="L103" s="129"/>
      <c r="M103" s="19" t="str">
        <f>IF(K103&gt;0,(K103*VLOOKUP(Lookups!$K$11,Lookups!$M$10:$P$40,4,0)/VLOOKUP(L103,Lookups!$M$10:$P$40,4,0)),"")</f>
        <v/>
      </c>
      <c r="N103" s="50"/>
      <c r="O103" s="129"/>
      <c r="P103" s="19" t="str">
        <f>IF(N103&gt;0,(N103*VLOOKUP(Lookups!$K$11,Lookups!$M$10:$P$40,4,0)/VLOOKUP(O103,Lookups!$M$10:$P$40,4,0)),"")</f>
        <v/>
      </c>
      <c r="Q103" s="77" t="s">
        <v>2447</v>
      </c>
      <c r="R103" s="17" t="s">
        <v>621</v>
      </c>
      <c r="S103" s="13" t="s">
        <v>2449</v>
      </c>
      <c r="T103" s="4" t="s">
        <v>1912</v>
      </c>
      <c r="U103" s="110" t="s">
        <v>2242</v>
      </c>
    </row>
    <row r="104" spans="1:21" s="58" customFormat="1" ht="60" customHeight="1" collapsed="1" x14ac:dyDescent="0.2">
      <c r="A104" s="42" t="s">
        <v>703</v>
      </c>
      <c r="B104" s="42" t="s">
        <v>1193</v>
      </c>
      <c r="C104" s="42" t="s">
        <v>1194</v>
      </c>
      <c r="D104" s="42" t="s">
        <v>492</v>
      </c>
      <c r="E104" s="13" t="s">
        <v>631</v>
      </c>
      <c r="F104" s="13" t="s">
        <v>679</v>
      </c>
      <c r="G104" s="37" t="s">
        <v>1347</v>
      </c>
      <c r="H104" s="15">
        <f>137.6/3*2</f>
        <v>91.733333333333334</v>
      </c>
      <c r="I104" s="129" t="s">
        <v>727</v>
      </c>
      <c r="J104" s="19">
        <f>IF(H104&gt;0,(H104*VLOOKUP(Lookups!$K$11,Lookups!$M$10:$P$40,4,0)/VLOOKUP(I104,Lookups!$M$10:$P$40,4,0)),"")</f>
        <v>94.598899199999991</v>
      </c>
      <c r="K104" s="15">
        <f>137.6/3</f>
        <v>45.866666666666667</v>
      </c>
      <c r="L104" s="129" t="s">
        <v>727</v>
      </c>
      <c r="M104" s="19">
        <f>IF(K104&gt;0,(K104*VLOOKUP(Lookups!$K$11,Lookups!$M$10:$P$40,4,0)/VLOOKUP(L104,Lookups!$M$10:$P$40,4,0)),"")</f>
        <v>47.299449599999996</v>
      </c>
      <c r="N104" s="15"/>
      <c r="O104" s="129"/>
      <c r="P104" s="19" t="str">
        <f>IF(N104&gt;0,(N104*VLOOKUP(Lookups!$K$11,Lookups!$M$10:$P$40,4,0)/VLOOKUP(O104,Lookups!$M$10:$P$40,4,0)),"")</f>
        <v/>
      </c>
      <c r="Q104" s="96" t="s">
        <v>2219</v>
      </c>
      <c r="R104" s="17" t="s">
        <v>619</v>
      </c>
      <c r="S104" s="47" t="s">
        <v>482</v>
      </c>
      <c r="T104" s="13" t="s">
        <v>1912</v>
      </c>
      <c r="U104" s="13" t="s">
        <v>2220</v>
      </c>
    </row>
    <row r="105" spans="1:21" s="58" customFormat="1" ht="60" hidden="1" customHeight="1" outlineLevel="1" x14ac:dyDescent="0.2">
      <c r="A105" s="46" t="s">
        <v>703</v>
      </c>
      <c r="B105" s="46" t="s">
        <v>1193</v>
      </c>
      <c r="C105" s="46" t="s">
        <v>1196</v>
      </c>
      <c r="D105" s="46" t="s">
        <v>494</v>
      </c>
      <c r="E105" s="13" t="s">
        <v>631</v>
      </c>
      <c r="F105" s="13" t="s">
        <v>679</v>
      </c>
      <c r="G105" s="37" t="s">
        <v>1347</v>
      </c>
      <c r="H105" s="15">
        <f>226.6/3*2</f>
        <v>151.06666666666666</v>
      </c>
      <c r="I105" s="129" t="s">
        <v>727</v>
      </c>
      <c r="J105" s="19">
        <f>IF(H105&gt;0,(H105*VLOOKUP(Lookups!$K$11,Lookups!$M$10:$P$40,4,0)/VLOOKUP(I105,Lookups!$M$10:$P$40,4,0)),"")</f>
        <v>155.78568719999998</v>
      </c>
      <c r="K105" s="15">
        <f>226.6/3</f>
        <v>75.533333333333331</v>
      </c>
      <c r="L105" s="129" t="s">
        <v>727</v>
      </c>
      <c r="M105" s="19">
        <f>IF(K105&gt;0,(K105*VLOOKUP(Lookups!$K$11,Lookups!$M$10:$P$40,4,0)/VLOOKUP(L105,Lookups!$M$10:$P$40,4,0)),"")</f>
        <v>77.892843599999992</v>
      </c>
      <c r="N105" s="15"/>
      <c r="O105" s="129"/>
      <c r="P105" s="19" t="str">
        <f>IF(N105&gt;0,(N105*VLOOKUP(Lookups!$K$11,Lookups!$M$10:$P$40,4,0)/VLOOKUP(O105,Lookups!$M$10:$P$40,4,0)),"")</f>
        <v/>
      </c>
      <c r="Q105" s="96" t="s">
        <v>2219</v>
      </c>
      <c r="R105" s="17" t="s">
        <v>619</v>
      </c>
      <c r="S105" s="47" t="s">
        <v>483</v>
      </c>
      <c r="T105" s="13" t="s">
        <v>1912</v>
      </c>
      <c r="U105" s="13" t="s">
        <v>2220</v>
      </c>
    </row>
    <row r="106" spans="1:21" s="58" customFormat="1" ht="60" hidden="1" customHeight="1" outlineLevel="1" x14ac:dyDescent="0.2">
      <c r="A106" s="46" t="s">
        <v>703</v>
      </c>
      <c r="B106" s="46" t="s">
        <v>1193</v>
      </c>
      <c r="C106" s="46" t="s">
        <v>1198</v>
      </c>
      <c r="D106" s="46" t="s">
        <v>496</v>
      </c>
      <c r="E106" s="13" t="s">
        <v>620</v>
      </c>
      <c r="F106" s="13" t="s">
        <v>679</v>
      </c>
      <c r="G106" s="37" t="s">
        <v>1347</v>
      </c>
      <c r="H106" s="15">
        <f>42/3*2</f>
        <v>28</v>
      </c>
      <c r="I106" s="129" t="s">
        <v>727</v>
      </c>
      <c r="J106" s="19">
        <f>IF(H106&gt;0,(H106*VLOOKUP(Lookups!$K$11,Lookups!$M$10:$P$40,4,0)/VLOOKUP(I106,Lookups!$M$10:$P$40,4,0)),"")</f>
        <v>28.874663999999999</v>
      </c>
      <c r="K106" s="15">
        <f>42/3</f>
        <v>14</v>
      </c>
      <c r="L106" s="129" t="s">
        <v>727</v>
      </c>
      <c r="M106" s="19">
        <f>IF(K106&gt;0,(K106*VLOOKUP(Lookups!$K$11,Lookups!$M$10:$P$40,4,0)/VLOOKUP(L106,Lookups!$M$10:$P$40,4,0)),"")</f>
        <v>14.437332</v>
      </c>
      <c r="N106" s="15"/>
      <c r="O106" s="129"/>
      <c r="P106" s="19" t="str">
        <f>IF(N106&gt;0,(N106*VLOOKUP(Lookups!$K$11,Lookups!$M$10:$P$40,4,0)/VLOOKUP(O106,Lookups!$M$10:$P$40,4,0)),"")</f>
        <v/>
      </c>
      <c r="Q106" s="77" t="s">
        <v>2451</v>
      </c>
      <c r="R106" s="17" t="s">
        <v>621</v>
      </c>
      <c r="S106" s="13" t="s">
        <v>2452</v>
      </c>
      <c r="T106" s="13" t="s">
        <v>1912</v>
      </c>
      <c r="U106" s="13" t="s">
        <v>2241</v>
      </c>
    </row>
    <row r="107" spans="1:21" s="58" customFormat="1" ht="60" customHeight="1" collapsed="1" x14ac:dyDescent="0.2">
      <c r="A107" s="42" t="s">
        <v>703</v>
      </c>
      <c r="B107" s="42" t="s">
        <v>497</v>
      </c>
      <c r="C107" s="42" t="s">
        <v>491</v>
      </c>
      <c r="D107" s="42" t="s">
        <v>499</v>
      </c>
      <c r="E107" s="13" t="s">
        <v>631</v>
      </c>
      <c r="F107" s="13" t="s">
        <v>1384</v>
      </c>
      <c r="G107" s="37" t="s">
        <v>1347</v>
      </c>
      <c r="H107" s="15">
        <v>1340.1</v>
      </c>
      <c r="I107" s="129" t="s">
        <v>727</v>
      </c>
      <c r="J107" s="19">
        <f>IF(H107&gt;0,(H107*VLOOKUP(Lookups!$K$11,Lookups!$M$10:$P$40,4,0)/VLOOKUP(I107,Lookups!$M$10:$P$40,4,0)),"")</f>
        <v>1381.9620437999997</v>
      </c>
      <c r="K107" s="15"/>
      <c r="L107" s="129"/>
      <c r="M107" s="19" t="str">
        <f>IF(K107&gt;0,(K107*VLOOKUP(Lookups!$K$11,Lookups!$M$10:$P$40,4,0)/VLOOKUP(L107,Lookups!$M$10:$P$40,4,0)),"")</f>
        <v/>
      </c>
      <c r="N107" s="15"/>
      <c r="O107" s="129"/>
      <c r="P107" s="19" t="str">
        <f>IF(N107&gt;0,(N107*VLOOKUP(Lookups!$K$11,Lookups!$M$10:$P$40,4,0)/VLOOKUP(O107,Lookups!$M$10:$P$40,4,0)),"")</f>
        <v/>
      </c>
      <c r="Q107" s="96" t="s">
        <v>2219</v>
      </c>
      <c r="R107" s="17" t="s">
        <v>619</v>
      </c>
      <c r="S107" s="47" t="s">
        <v>1879</v>
      </c>
      <c r="T107" s="4" t="s">
        <v>1912</v>
      </c>
      <c r="U107" s="110" t="s">
        <v>2221</v>
      </c>
    </row>
    <row r="108" spans="1:21" s="58" customFormat="1" ht="60" hidden="1" customHeight="1" outlineLevel="1" x14ac:dyDescent="0.2">
      <c r="A108" s="46" t="s">
        <v>703</v>
      </c>
      <c r="B108" s="46" t="s">
        <v>497</v>
      </c>
      <c r="C108" s="46" t="s">
        <v>493</v>
      </c>
      <c r="D108" s="46" t="s">
        <v>502</v>
      </c>
      <c r="E108" s="13" t="s">
        <v>631</v>
      </c>
      <c r="F108" s="13" t="s">
        <v>679</v>
      </c>
      <c r="G108" s="37" t="s">
        <v>1347</v>
      </c>
      <c r="H108" s="15">
        <v>447.1</v>
      </c>
      <c r="I108" s="129" t="s">
        <v>727</v>
      </c>
      <c r="J108" s="19">
        <f>IF(H108&gt;0,(H108*VLOOKUP(Lookups!$K$11,Lookups!$M$10:$P$40,4,0)/VLOOKUP(I108,Lookups!$M$10:$P$40,4,0)),"")</f>
        <v>461.06650979999995</v>
      </c>
      <c r="K108" s="15"/>
      <c r="L108" s="129"/>
      <c r="M108" s="19" t="str">
        <f>IF(K108&gt;0,(K108*VLOOKUP(Lookups!$K$11,Lookups!$M$10:$P$40,4,0)/VLOOKUP(L108,Lookups!$M$10:$P$40,4,0)),"")</f>
        <v/>
      </c>
      <c r="N108" s="15"/>
      <c r="O108" s="129"/>
      <c r="P108" s="19" t="str">
        <f>IF(N108&gt;0,(N108*VLOOKUP(Lookups!$K$11,Lookups!$M$10:$P$40,4,0)/VLOOKUP(O108,Lookups!$M$10:$P$40,4,0)),"")</f>
        <v/>
      </c>
      <c r="Q108" s="96" t="s">
        <v>2219</v>
      </c>
      <c r="R108" s="17" t="s">
        <v>619</v>
      </c>
      <c r="S108" s="47" t="s">
        <v>1879</v>
      </c>
      <c r="T108" s="4" t="s">
        <v>1912</v>
      </c>
      <c r="U108" s="110" t="s">
        <v>2221</v>
      </c>
    </row>
    <row r="109" spans="1:21" s="58" customFormat="1" ht="60" hidden="1" customHeight="1" outlineLevel="1" x14ac:dyDescent="0.2">
      <c r="A109" s="46" t="s">
        <v>703</v>
      </c>
      <c r="B109" s="46" t="s">
        <v>497</v>
      </c>
      <c r="C109" s="46" t="s">
        <v>495</v>
      </c>
      <c r="D109" s="46" t="s">
        <v>503</v>
      </c>
      <c r="E109" s="13" t="s">
        <v>631</v>
      </c>
      <c r="F109" s="13" t="s">
        <v>679</v>
      </c>
      <c r="G109" s="37" t="s">
        <v>1347</v>
      </c>
      <c r="H109" s="15">
        <v>344.6</v>
      </c>
      <c r="I109" s="129" t="s">
        <v>727</v>
      </c>
      <c r="J109" s="19">
        <f>IF(H109&gt;0,(H109*VLOOKUP(Lookups!$K$11,Lookups!$M$10:$P$40,4,0)/VLOOKUP(I109,Lookups!$M$10:$P$40,4,0)),"")</f>
        <v>355.36461479999997</v>
      </c>
      <c r="K109" s="15"/>
      <c r="L109" s="129"/>
      <c r="M109" s="19" t="str">
        <f>IF(K109&gt;0,(K109*VLOOKUP(Lookups!$K$11,Lookups!$M$10:$P$40,4,0)/VLOOKUP(L109,Lookups!$M$10:$P$40,4,0)),"")</f>
        <v/>
      </c>
      <c r="N109" s="15"/>
      <c r="O109" s="129"/>
      <c r="P109" s="19" t="str">
        <f>IF(N109&gt;0,(N109*VLOOKUP(Lookups!$K$11,Lookups!$M$10:$P$40,4,0)/VLOOKUP(O109,Lookups!$M$10:$P$40,4,0)),"")</f>
        <v/>
      </c>
      <c r="Q109" s="96" t="s">
        <v>2219</v>
      </c>
      <c r="R109" s="17" t="s">
        <v>619</v>
      </c>
      <c r="S109" s="47" t="s">
        <v>1879</v>
      </c>
      <c r="T109" s="4" t="s">
        <v>1912</v>
      </c>
      <c r="U109" s="110" t="s">
        <v>2221</v>
      </c>
    </row>
    <row r="110" spans="1:21" s="58" customFormat="1" ht="60" customHeight="1" collapsed="1" x14ac:dyDescent="0.2">
      <c r="A110" s="42" t="s">
        <v>703</v>
      </c>
      <c r="B110" s="42" t="s">
        <v>504</v>
      </c>
      <c r="C110" s="42" t="s">
        <v>498</v>
      </c>
      <c r="D110" s="42" t="s">
        <v>506</v>
      </c>
      <c r="E110" s="13" t="s">
        <v>631</v>
      </c>
      <c r="F110" s="13" t="s">
        <v>1384</v>
      </c>
      <c r="G110" s="37" t="s">
        <v>1347</v>
      </c>
      <c r="H110" s="15">
        <v>892.3</v>
      </c>
      <c r="I110" s="129" t="s">
        <v>727</v>
      </c>
      <c r="J110" s="19">
        <f>IF(H110&gt;0,(H110*VLOOKUP(Lookups!$K$11,Lookups!$M$10:$P$40,4,0)/VLOOKUP(I110,Lookups!$M$10:$P$40,4,0)),"")</f>
        <v>920.17366739999977</v>
      </c>
      <c r="K110" s="15"/>
      <c r="L110" s="129"/>
      <c r="M110" s="19" t="str">
        <f>IF(K110&gt;0,(K110*VLOOKUP(Lookups!$K$11,Lookups!$M$10:$P$40,4,0)/VLOOKUP(L110,Lookups!$M$10:$P$40,4,0)),"")</f>
        <v/>
      </c>
      <c r="N110" s="15"/>
      <c r="O110" s="129"/>
      <c r="P110" s="19" t="str">
        <f>IF(N110&gt;0,(N110*VLOOKUP(Lookups!$K$11,Lookups!$M$10:$P$40,4,0)/VLOOKUP(O110,Lookups!$M$10:$P$40,4,0)),"")</f>
        <v/>
      </c>
      <c r="Q110" s="96" t="s">
        <v>2219</v>
      </c>
      <c r="R110" s="17" t="s">
        <v>619</v>
      </c>
      <c r="S110" s="47" t="s">
        <v>1879</v>
      </c>
      <c r="T110" s="4" t="s">
        <v>1912</v>
      </c>
      <c r="U110" s="110" t="s">
        <v>2221</v>
      </c>
    </row>
    <row r="111" spans="1:21" s="58" customFormat="1" ht="60" hidden="1" customHeight="1" outlineLevel="1" x14ac:dyDescent="0.2">
      <c r="A111" s="46" t="s">
        <v>703</v>
      </c>
      <c r="B111" s="46" t="s">
        <v>504</v>
      </c>
      <c r="C111" s="46" t="s">
        <v>500</v>
      </c>
      <c r="D111" s="46" t="s">
        <v>510</v>
      </c>
      <c r="E111" s="13" t="s">
        <v>631</v>
      </c>
      <c r="F111" s="13" t="s">
        <v>679</v>
      </c>
      <c r="G111" s="37" t="s">
        <v>1347</v>
      </c>
      <c r="H111" s="15">
        <v>199.1</v>
      </c>
      <c r="I111" s="129" t="s">
        <v>727</v>
      </c>
      <c r="J111" s="19">
        <f>IF(H111&gt;0,(H111*VLOOKUP(Lookups!$K$11,Lookups!$M$10:$P$40,4,0)/VLOOKUP(I111,Lookups!$M$10:$P$40,4,0)),"")</f>
        <v>205.31948579999997</v>
      </c>
      <c r="K111" s="15"/>
      <c r="L111" s="129"/>
      <c r="M111" s="19" t="str">
        <f>IF(K111&gt;0,(K111*VLOOKUP(Lookups!$K$11,Lookups!$M$10:$P$40,4,0)/VLOOKUP(L111,Lookups!$M$10:$P$40,4,0)),"")</f>
        <v/>
      </c>
      <c r="N111" s="15"/>
      <c r="O111" s="129"/>
      <c r="P111" s="19" t="str">
        <f>IF(N111&gt;0,(N111*VLOOKUP(Lookups!$K$11,Lookups!$M$10:$P$40,4,0)/VLOOKUP(O111,Lookups!$M$10:$P$40,4,0)),"")</f>
        <v/>
      </c>
      <c r="Q111" s="96" t="s">
        <v>2219</v>
      </c>
      <c r="R111" s="17" t="s">
        <v>619</v>
      </c>
      <c r="S111" s="47" t="s">
        <v>1879</v>
      </c>
      <c r="T111" s="4" t="s">
        <v>1912</v>
      </c>
      <c r="U111" s="110" t="s">
        <v>2221</v>
      </c>
    </row>
    <row r="112" spans="1:21" s="58" customFormat="1" ht="60" hidden="1" customHeight="1" outlineLevel="1" x14ac:dyDescent="0.2">
      <c r="A112" s="46" t="s">
        <v>703</v>
      </c>
      <c r="B112" s="46" t="s">
        <v>504</v>
      </c>
      <c r="C112" s="46" t="s">
        <v>501</v>
      </c>
      <c r="D112" s="46" t="s">
        <v>511</v>
      </c>
      <c r="E112" s="13" t="s">
        <v>631</v>
      </c>
      <c r="F112" s="13" t="s">
        <v>679</v>
      </c>
      <c r="G112" s="37" t="s">
        <v>1347</v>
      </c>
      <c r="H112" s="15">
        <v>174.1</v>
      </c>
      <c r="I112" s="129" t="s">
        <v>727</v>
      </c>
      <c r="J112" s="19">
        <f>IF(H112&gt;0,(H112*VLOOKUP(Lookups!$K$11,Lookups!$M$10:$P$40,4,0)/VLOOKUP(I112,Lookups!$M$10:$P$40,4,0)),"")</f>
        <v>179.53853579999998</v>
      </c>
      <c r="K112" s="15"/>
      <c r="L112" s="129"/>
      <c r="M112" s="19" t="str">
        <f>IF(K112&gt;0,(K112*VLOOKUP(Lookups!$K$11,Lookups!$M$10:$P$40,4,0)/VLOOKUP(L112,Lookups!$M$10:$P$40,4,0)),"")</f>
        <v/>
      </c>
      <c r="N112" s="15"/>
      <c r="O112" s="129"/>
      <c r="P112" s="19" t="str">
        <f>IF(N112&gt;0,(N112*VLOOKUP(Lookups!$K$11,Lookups!$M$10:$P$40,4,0)/VLOOKUP(O112,Lookups!$M$10:$P$40,4,0)),"")</f>
        <v/>
      </c>
      <c r="Q112" s="96" t="s">
        <v>2219</v>
      </c>
      <c r="R112" s="17" t="s">
        <v>619</v>
      </c>
      <c r="S112" s="47" t="s">
        <v>1879</v>
      </c>
      <c r="T112" s="4" t="s">
        <v>1912</v>
      </c>
      <c r="U112" s="110" t="s">
        <v>2221</v>
      </c>
    </row>
    <row r="113" spans="1:21" s="40" customFormat="1" ht="60" customHeight="1" collapsed="1" x14ac:dyDescent="0.2">
      <c r="A113" s="42" t="s">
        <v>703</v>
      </c>
      <c r="B113" s="42" t="s">
        <v>707</v>
      </c>
      <c r="C113" s="42" t="s">
        <v>505</v>
      </c>
      <c r="D113" s="42" t="s">
        <v>513</v>
      </c>
      <c r="E113" s="13" t="s">
        <v>1414</v>
      </c>
      <c r="F113" s="13" t="s">
        <v>712</v>
      </c>
      <c r="G113" s="4" t="s">
        <v>712</v>
      </c>
      <c r="H113" s="15">
        <v>952</v>
      </c>
      <c r="I113" s="129" t="s">
        <v>662</v>
      </c>
      <c r="J113" s="19">
        <f>IF(H113&gt;0,(H113*VLOOKUP(Lookups!$K$11,Lookups!$M$10:$P$40,4,0)/VLOOKUP(I113,Lookups!$M$10:$P$40,4,0)),"")</f>
        <v>1093.25091621308</v>
      </c>
      <c r="K113" s="15"/>
      <c r="L113" s="129"/>
      <c r="M113" s="19" t="str">
        <f>IF(K113&gt;0,(K113*VLOOKUP(Lookups!$K$11,Lookups!$M$10:$P$40,4,0)/VLOOKUP(L113,Lookups!$M$10:$P$40,4,0)),"")</f>
        <v/>
      </c>
      <c r="N113" s="15"/>
      <c r="O113" s="129"/>
      <c r="P113" s="19" t="str">
        <f>IF(N113&gt;0,(N113*VLOOKUP(Lookups!$K$11,Lookups!$M$10:$P$40,4,0)/VLOOKUP(O113,Lookups!$M$10:$P$40,4,0)),"")</f>
        <v/>
      </c>
      <c r="Q113" s="78" t="s">
        <v>1413</v>
      </c>
      <c r="R113" s="17" t="s">
        <v>621</v>
      </c>
      <c r="S113" s="4" t="s">
        <v>514</v>
      </c>
      <c r="T113" s="13"/>
      <c r="U113" s="13"/>
    </row>
    <row r="114" spans="1:21" s="51" customFormat="1" ht="60" hidden="1" customHeight="1" outlineLevel="1" x14ac:dyDescent="0.2">
      <c r="A114" s="46" t="s">
        <v>703</v>
      </c>
      <c r="B114" s="46" t="s">
        <v>707</v>
      </c>
      <c r="C114" s="46" t="s">
        <v>507</v>
      </c>
      <c r="D114" s="46" t="s">
        <v>515</v>
      </c>
      <c r="E114" s="13" t="s">
        <v>1414</v>
      </c>
      <c r="F114" s="4" t="s">
        <v>712</v>
      </c>
      <c r="G114" s="4" t="s">
        <v>712</v>
      </c>
      <c r="H114" s="15">
        <v>2078</v>
      </c>
      <c r="I114" s="129" t="s">
        <v>662</v>
      </c>
      <c r="J114" s="19">
        <f>IF(H114&gt;0,(H114*VLOOKUP(Lookups!$K$11,Lookups!$M$10:$P$40,4,0)/VLOOKUP(I114,Lookups!$M$10:$P$40,4,0)),"")</f>
        <v>2386.3187015659455</v>
      </c>
      <c r="K114" s="15"/>
      <c r="L114" s="129"/>
      <c r="M114" s="19" t="str">
        <f>IF(K114&gt;0,(K114*VLOOKUP(Lookups!$K$11,Lookups!$M$10:$P$40,4,0)/VLOOKUP(L114,Lookups!$M$10:$P$40,4,0)),"")</f>
        <v/>
      </c>
      <c r="N114" s="15"/>
      <c r="O114" s="129"/>
      <c r="P114" s="19" t="str">
        <f>IF(N114&gt;0,(N114*VLOOKUP(Lookups!$K$11,Lookups!$M$10:$P$40,4,0)/VLOOKUP(O114,Lookups!$M$10:$P$40,4,0)),"")</f>
        <v/>
      </c>
      <c r="Q114" s="78" t="s">
        <v>1413</v>
      </c>
      <c r="R114" s="17" t="s">
        <v>621</v>
      </c>
      <c r="S114" s="4" t="s">
        <v>516</v>
      </c>
      <c r="T114" s="111"/>
      <c r="U114" s="111"/>
    </row>
    <row r="115" spans="1:21" s="51" customFormat="1" ht="60" hidden="1" customHeight="1" outlineLevel="1" x14ac:dyDescent="0.2">
      <c r="A115" s="46" t="s">
        <v>703</v>
      </c>
      <c r="B115" s="46" t="s">
        <v>707</v>
      </c>
      <c r="C115" s="46" t="s">
        <v>508</v>
      </c>
      <c r="D115" s="46" t="s">
        <v>1917</v>
      </c>
      <c r="E115" s="13" t="s">
        <v>1382</v>
      </c>
      <c r="F115" s="13" t="s">
        <v>679</v>
      </c>
      <c r="G115" s="4" t="s">
        <v>1347</v>
      </c>
      <c r="H115" s="15">
        <v>1869</v>
      </c>
      <c r="I115" s="129" t="s">
        <v>727</v>
      </c>
      <c r="J115" s="19">
        <f>IF(H115&gt;0,(H115*VLOOKUP(Lookups!$K$11,Lookups!$M$10:$P$40,4,0)/VLOOKUP(I115,Lookups!$M$10:$P$40,4,0)),"")</f>
        <v>1927.3838219999998</v>
      </c>
      <c r="K115" s="15"/>
      <c r="L115" s="129"/>
      <c r="M115" s="19" t="str">
        <f>IF(K115&gt;0,(K115*VLOOKUP(Lookups!$K$11,Lookups!$M$10:$P$40,4,0)/VLOOKUP(L115,Lookups!$M$10:$P$40,4,0)),"")</f>
        <v/>
      </c>
      <c r="N115" s="15"/>
      <c r="O115" s="129"/>
      <c r="P115" s="19" t="str">
        <f>IF(N115&gt;0,(N115*VLOOKUP(Lookups!$K$11,Lookups!$M$10:$P$40,4,0)/VLOOKUP(O115,Lookups!$M$10:$P$40,4,0)),"")</f>
        <v/>
      </c>
      <c r="Q115" s="77" t="s">
        <v>2453</v>
      </c>
      <c r="R115" s="17" t="s">
        <v>621</v>
      </c>
      <c r="S115" s="13" t="s">
        <v>2454</v>
      </c>
      <c r="T115" s="4" t="s">
        <v>1912</v>
      </c>
      <c r="U115" s="110" t="s">
        <v>2242</v>
      </c>
    </row>
    <row r="116" spans="1:21" s="40" customFormat="1" ht="60" hidden="1" customHeight="1" outlineLevel="1" x14ac:dyDescent="0.2">
      <c r="A116" s="46" t="s">
        <v>703</v>
      </c>
      <c r="B116" s="46" t="s">
        <v>707</v>
      </c>
      <c r="C116" s="46" t="s">
        <v>509</v>
      </c>
      <c r="D116" s="46" t="s">
        <v>484</v>
      </c>
      <c r="E116" s="13" t="s">
        <v>1259</v>
      </c>
      <c r="F116" s="13" t="s">
        <v>614</v>
      </c>
      <c r="G116" s="13" t="s">
        <v>629</v>
      </c>
      <c r="H116" s="15">
        <v>3368</v>
      </c>
      <c r="I116" s="129" t="s">
        <v>662</v>
      </c>
      <c r="J116" s="19">
        <f>IF(H116&gt;0,(H116*VLOOKUP(Lookups!$K$11,Lookups!$M$10:$P$40,4,0)/VLOOKUP(I116,Lookups!$M$10:$P$40,4,0)),"")</f>
        <v>3867.719627947115</v>
      </c>
      <c r="K116" s="15">
        <v>5919</v>
      </c>
      <c r="L116" s="129" t="s">
        <v>662</v>
      </c>
      <c r="M116" s="19">
        <f>IF(K116&gt;0,(K116*VLOOKUP(Lookups!$K$11,Lookups!$M$10:$P$40,4,0)/VLOOKUP(L116,Lookups!$M$10:$P$40,4,0)),"")</f>
        <v>6797.2186691861561</v>
      </c>
      <c r="N116" s="15"/>
      <c r="O116" s="129"/>
      <c r="P116" s="19" t="str">
        <f>IF(N116&gt;0,(N116*VLOOKUP(Lookups!$K$11,Lookups!$M$10:$P$40,4,0)/VLOOKUP(O116,Lookups!$M$10:$P$40,4,0)),"")</f>
        <v/>
      </c>
      <c r="Q116" s="78" t="s">
        <v>1260</v>
      </c>
      <c r="R116" s="17" t="s">
        <v>621</v>
      </c>
      <c r="S116" s="13" t="s">
        <v>474</v>
      </c>
      <c r="T116" s="13" t="s">
        <v>1912</v>
      </c>
      <c r="U116" s="13" t="s">
        <v>554</v>
      </c>
    </row>
    <row r="117" spans="1:21" s="40" customFormat="1" ht="60" hidden="1" customHeight="1" outlineLevel="2" x14ac:dyDescent="0.2">
      <c r="A117" s="13" t="s">
        <v>703</v>
      </c>
      <c r="B117" s="37" t="s">
        <v>707</v>
      </c>
      <c r="C117" s="37" t="s">
        <v>1902</v>
      </c>
      <c r="D117" s="45" t="s">
        <v>1261</v>
      </c>
      <c r="E117" s="13" t="s">
        <v>1259</v>
      </c>
      <c r="F117" s="13" t="s">
        <v>614</v>
      </c>
      <c r="G117" s="13" t="s">
        <v>669</v>
      </c>
      <c r="H117" s="15">
        <v>1588</v>
      </c>
      <c r="I117" s="129" t="s">
        <v>662</v>
      </c>
      <c r="J117" s="19">
        <f>IF(H117&gt;0,(H117*VLOOKUP(Lookups!$K$11,Lookups!$M$10:$P$40,4,0)/VLOOKUP(I117,Lookups!$M$10:$P$40,4,0)),"")</f>
        <v>1823.616024103331</v>
      </c>
      <c r="K117" s="15"/>
      <c r="L117" s="129"/>
      <c r="M117" s="19" t="str">
        <f>IF(K117&gt;0,(K117*VLOOKUP(Lookups!$K$11,Lookups!$M$10:$P$40,4,0)/VLOOKUP(L117,Lookups!$M$10:$P$40,4,0)),"")</f>
        <v/>
      </c>
      <c r="N117" s="15"/>
      <c r="O117" s="129"/>
      <c r="P117" s="19" t="str">
        <f>IF(N117&gt;0,(N117*VLOOKUP(Lookups!$K$11,Lookups!$M$10:$P$40,4,0)/VLOOKUP(O117,Lookups!$M$10:$P$40,4,0)),"")</f>
        <v/>
      </c>
      <c r="Q117" s="78" t="s">
        <v>1260</v>
      </c>
      <c r="R117" s="17" t="s">
        <v>621</v>
      </c>
      <c r="S117" s="13" t="s">
        <v>838</v>
      </c>
      <c r="T117" s="13"/>
      <c r="U117" s="13"/>
    </row>
    <row r="118" spans="1:21" s="40" customFormat="1" ht="60" hidden="1" customHeight="1" outlineLevel="2" x14ac:dyDescent="0.2">
      <c r="A118" s="13" t="s">
        <v>703</v>
      </c>
      <c r="B118" s="37" t="s">
        <v>707</v>
      </c>
      <c r="C118" s="37" t="s">
        <v>1903</v>
      </c>
      <c r="D118" s="45" t="s">
        <v>839</v>
      </c>
      <c r="E118" s="13" t="s">
        <v>1259</v>
      </c>
      <c r="F118" s="13" t="s">
        <v>629</v>
      </c>
      <c r="G118" s="13" t="s">
        <v>225</v>
      </c>
      <c r="H118" s="15">
        <v>1278</v>
      </c>
      <c r="I118" s="129" t="s">
        <v>662</v>
      </c>
      <c r="J118" s="19">
        <f>IF(H118&gt;0,(H118*VLOOKUP(Lookups!$K$11,Lookups!$M$10:$P$40,4,0)/VLOOKUP(I118,Lookups!$M$10:$P$40,4,0)),"")</f>
        <v>1467.6204526473909</v>
      </c>
      <c r="K118" s="15"/>
      <c r="L118" s="129"/>
      <c r="M118" s="19" t="str">
        <f>IF(K118&gt;0,(K118*VLOOKUP(Lookups!$K$11,Lookups!$M$10:$P$40,4,0)/VLOOKUP(L118,Lookups!$M$10:$P$40,4,0)),"")</f>
        <v/>
      </c>
      <c r="N118" s="15"/>
      <c r="O118" s="129"/>
      <c r="P118" s="19" t="str">
        <f>IF(N118&gt;0,(N118*VLOOKUP(Lookups!$K$11,Lookups!$M$10:$P$40,4,0)/VLOOKUP(O118,Lookups!$M$10:$P$40,4,0)),"")</f>
        <v/>
      </c>
      <c r="Q118" s="78" t="s">
        <v>1260</v>
      </c>
      <c r="R118" s="17" t="s">
        <v>621</v>
      </c>
      <c r="S118" s="13" t="s">
        <v>840</v>
      </c>
      <c r="T118" s="13"/>
      <c r="U118" s="13"/>
    </row>
    <row r="119" spans="1:21" s="40" customFormat="1" ht="60" hidden="1" customHeight="1" outlineLevel="2" x14ac:dyDescent="0.2">
      <c r="A119" s="13" t="s">
        <v>703</v>
      </c>
      <c r="B119" s="37" t="s">
        <v>707</v>
      </c>
      <c r="C119" s="37" t="s">
        <v>1904</v>
      </c>
      <c r="D119" s="45" t="s">
        <v>486</v>
      </c>
      <c r="E119" s="13" t="s">
        <v>1259</v>
      </c>
      <c r="F119" s="13" t="s">
        <v>1420</v>
      </c>
      <c r="G119" s="13" t="s">
        <v>487</v>
      </c>
      <c r="H119" s="15">
        <v>437</v>
      </c>
      <c r="I119" s="129" t="s">
        <v>662</v>
      </c>
      <c r="J119" s="19">
        <f>IF(H119&gt;0,(H119*VLOOKUP(Lookups!$K$11,Lookups!$M$10:$P$40,4,0)/VLOOKUP(I119,Lookups!$M$10:$P$40,4,0)),"")</f>
        <v>501.83891847176045</v>
      </c>
      <c r="K119" s="15"/>
      <c r="L119" s="129"/>
      <c r="M119" s="19" t="str">
        <f>IF(K119&gt;0,(K119*VLOOKUP(Lookups!$K$11,Lookups!$M$10:$P$40,4,0)/VLOOKUP(L119,Lookups!$M$10:$P$40,4,0)),"")</f>
        <v/>
      </c>
      <c r="N119" s="15"/>
      <c r="O119" s="129"/>
      <c r="P119" s="19" t="str">
        <f>IF(N119&gt;0,(N119*VLOOKUP(Lookups!$K$11,Lookups!$M$10:$P$40,4,0)/VLOOKUP(O119,Lookups!$M$10:$P$40,4,0)),"")</f>
        <v/>
      </c>
      <c r="Q119" s="78" t="s">
        <v>1260</v>
      </c>
      <c r="R119" s="17" t="s">
        <v>621</v>
      </c>
      <c r="S119" s="13" t="s">
        <v>488</v>
      </c>
      <c r="T119" s="13"/>
      <c r="U119" s="13"/>
    </row>
    <row r="120" spans="1:21" s="40" customFormat="1" ht="60" hidden="1" customHeight="1" outlineLevel="2" x14ac:dyDescent="0.2">
      <c r="A120" s="13" t="s">
        <v>703</v>
      </c>
      <c r="B120" s="37" t="s">
        <v>707</v>
      </c>
      <c r="C120" s="37" t="s">
        <v>1905</v>
      </c>
      <c r="D120" s="45" t="s">
        <v>489</v>
      </c>
      <c r="E120" s="13" t="s">
        <v>1259</v>
      </c>
      <c r="F120" s="13" t="s">
        <v>679</v>
      </c>
      <c r="G120" s="13" t="s">
        <v>1347</v>
      </c>
      <c r="H120" s="15">
        <v>67</v>
      </c>
      <c r="I120" s="129" t="s">
        <v>662</v>
      </c>
      <c r="J120" s="19">
        <f>IF(H120&gt;0,(H120*VLOOKUP(Lookups!$K$11,Lookups!$M$10:$P$40,4,0)/VLOOKUP(I120,Lookups!$M$10:$P$40,4,0)),"")</f>
        <v>76.940978346928944</v>
      </c>
      <c r="K120" s="15"/>
      <c r="L120" s="129"/>
      <c r="M120" s="19" t="str">
        <f>IF(K120&gt;0,(K120*VLOOKUP(Lookups!$K$11,Lookups!$M$10:$P$40,4,0)/VLOOKUP(L120,Lookups!$M$10:$P$40,4,0)),"")</f>
        <v/>
      </c>
      <c r="N120" s="15"/>
      <c r="O120" s="129"/>
      <c r="P120" s="19" t="str">
        <f>IF(N120&gt;0,(N120*VLOOKUP(Lookups!$K$11,Lookups!$M$10:$P$40,4,0)/VLOOKUP(O120,Lookups!$M$10:$P$40,4,0)),"")</f>
        <v/>
      </c>
      <c r="Q120" s="78" t="s">
        <v>1260</v>
      </c>
      <c r="R120" s="17" t="s">
        <v>621</v>
      </c>
      <c r="S120" s="13" t="s">
        <v>533</v>
      </c>
      <c r="T120" s="13"/>
      <c r="U120" s="13"/>
    </row>
    <row r="121" spans="1:21" s="58" customFormat="1" ht="60" customHeight="1" collapsed="1" x14ac:dyDescent="0.2">
      <c r="A121" s="44" t="s">
        <v>703</v>
      </c>
      <c r="B121" s="44" t="s">
        <v>707</v>
      </c>
      <c r="C121" s="44" t="s">
        <v>512</v>
      </c>
      <c r="D121" s="44" t="s">
        <v>1867</v>
      </c>
      <c r="E121" s="13" t="s">
        <v>534</v>
      </c>
      <c r="F121" s="13" t="s">
        <v>614</v>
      </c>
      <c r="G121" s="13" t="s">
        <v>629</v>
      </c>
      <c r="H121" s="15">
        <v>3206</v>
      </c>
      <c r="I121" s="129" t="s">
        <v>663</v>
      </c>
      <c r="J121" s="19">
        <f>IF(H121&gt;0,(H121*VLOOKUP(Lookups!$K$11,Lookups!$M$10:$P$40,4,0)/VLOOKUP(I121,Lookups!$M$10:$P$40,4,0)),"")</f>
        <v>3588.9099113331463</v>
      </c>
      <c r="K121" s="15">
        <v>6958</v>
      </c>
      <c r="L121" s="129" t="s">
        <v>662</v>
      </c>
      <c r="M121" s="19">
        <f>IF(K121&gt;0,(K121*VLOOKUP(Lookups!$K$11,Lookups!$M$10:$P$40,4,0)/VLOOKUP(L121,Lookups!$M$10:$P$40,4,0)),"")</f>
        <v>7990.3780199691291</v>
      </c>
      <c r="N121" s="15"/>
      <c r="O121" s="129"/>
      <c r="P121" s="19" t="str">
        <f>IF(N121&gt;0,(N121*VLOOKUP(Lookups!$K$11,Lookups!$M$10:$P$40,4,0)/VLOOKUP(O121,Lookups!$M$10:$P$40,4,0)),"")</f>
        <v/>
      </c>
      <c r="Q121" s="78" t="s">
        <v>535</v>
      </c>
      <c r="R121" s="17" t="s">
        <v>621</v>
      </c>
      <c r="S121" s="13" t="s">
        <v>2059</v>
      </c>
      <c r="T121" s="13" t="s">
        <v>1912</v>
      </c>
      <c r="U121" s="13" t="s">
        <v>286</v>
      </c>
    </row>
    <row r="122" spans="1:21" s="58" customFormat="1" ht="60" hidden="1" customHeight="1" outlineLevel="2" x14ac:dyDescent="0.2">
      <c r="A122" s="37" t="s">
        <v>703</v>
      </c>
      <c r="B122" s="37" t="s">
        <v>707</v>
      </c>
      <c r="C122" s="37" t="s">
        <v>288</v>
      </c>
      <c r="D122" s="45" t="s">
        <v>826</v>
      </c>
      <c r="E122" s="13" t="s">
        <v>534</v>
      </c>
      <c r="F122" s="13" t="s">
        <v>614</v>
      </c>
      <c r="G122" s="13" t="s">
        <v>669</v>
      </c>
      <c r="H122" s="15">
        <v>1849</v>
      </c>
      <c r="I122" s="129" t="s">
        <v>663</v>
      </c>
      <c r="J122" s="19">
        <f>IF(H122&gt;0,(H122*VLOOKUP(Lookups!$K$11,Lookups!$M$10:$P$40,4,0)/VLOOKUP(I122,Lookups!$M$10:$P$40,4,0)),"")</f>
        <v>2069.8360655193346</v>
      </c>
      <c r="K122" s="15"/>
      <c r="L122" s="129"/>
      <c r="M122" s="19" t="str">
        <f>IF(K122&gt;0,(K122*VLOOKUP(Lookups!$K$11,Lookups!$M$10:$P$40,4,0)/VLOOKUP(L122,Lookups!$M$10:$P$40,4,0)),"")</f>
        <v/>
      </c>
      <c r="N122" s="15"/>
      <c r="O122" s="129"/>
      <c r="P122" s="19" t="str">
        <f>IF(N122&gt;0,(N122*VLOOKUP(Lookups!$K$11,Lookups!$M$10:$P$40,4,0)/VLOOKUP(O122,Lookups!$M$10:$P$40,4,0)),"")</f>
        <v/>
      </c>
      <c r="Q122" s="78" t="s">
        <v>535</v>
      </c>
      <c r="R122" s="17" t="s">
        <v>621</v>
      </c>
      <c r="S122" s="13" t="s">
        <v>948</v>
      </c>
      <c r="T122" s="4"/>
      <c r="U122" s="124" t="s">
        <v>287</v>
      </c>
    </row>
    <row r="123" spans="1:21" s="58" customFormat="1" ht="60" hidden="1" customHeight="1" outlineLevel="2" x14ac:dyDescent="0.2">
      <c r="A123" s="37" t="s">
        <v>703</v>
      </c>
      <c r="B123" s="37" t="s">
        <v>707</v>
      </c>
      <c r="C123" s="37" t="s">
        <v>289</v>
      </c>
      <c r="D123" s="45" t="s">
        <v>1534</v>
      </c>
      <c r="E123" s="13" t="s">
        <v>534</v>
      </c>
      <c r="F123" s="13" t="s">
        <v>629</v>
      </c>
      <c r="G123" s="13" t="s">
        <v>225</v>
      </c>
      <c r="H123" s="15">
        <v>1148</v>
      </c>
      <c r="I123" s="129" t="s">
        <v>663</v>
      </c>
      <c r="J123" s="19">
        <f>IF(H123&gt;0,(H123*VLOOKUP(Lookups!$K$11,Lookups!$M$10:$P$40,4,0)/VLOOKUP(I123,Lookups!$M$10:$P$40,4,0)),"")</f>
        <v>1285.1118459795546</v>
      </c>
      <c r="K123" s="15"/>
      <c r="L123" s="129"/>
      <c r="M123" s="19" t="str">
        <f>IF(K123&gt;0,(K123*VLOOKUP(Lookups!$K$11,Lookups!$M$10:$P$40,4,0)/VLOOKUP(L123,Lookups!$M$10:$P$40,4,0)),"")</f>
        <v/>
      </c>
      <c r="N123" s="15"/>
      <c r="O123" s="129"/>
      <c r="P123" s="19" t="str">
        <f>IF(N123&gt;0,(N123*VLOOKUP(Lookups!$K$11,Lookups!$M$10:$P$40,4,0)/VLOOKUP(O123,Lookups!$M$10:$P$40,4,0)),"")</f>
        <v/>
      </c>
      <c r="Q123" s="78" t="s">
        <v>535</v>
      </c>
      <c r="R123" s="17" t="s">
        <v>621</v>
      </c>
      <c r="S123" s="13" t="s">
        <v>959</v>
      </c>
      <c r="T123" s="4"/>
      <c r="U123" s="124" t="s">
        <v>287</v>
      </c>
    </row>
    <row r="124" spans="1:21" s="58" customFormat="1" ht="60" hidden="1" customHeight="1" outlineLevel="2" x14ac:dyDescent="0.2">
      <c r="A124" s="37" t="s">
        <v>703</v>
      </c>
      <c r="B124" s="37" t="s">
        <v>707</v>
      </c>
      <c r="C124" s="37" t="s">
        <v>290</v>
      </c>
      <c r="D124" s="45" t="s">
        <v>960</v>
      </c>
      <c r="E124" s="13" t="s">
        <v>534</v>
      </c>
      <c r="F124" s="13" t="s">
        <v>1420</v>
      </c>
      <c r="G124" s="13" t="s">
        <v>487</v>
      </c>
      <c r="H124" s="15">
        <v>186</v>
      </c>
      <c r="I124" s="129" t="s">
        <v>663</v>
      </c>
      <c r="J124" s="19">
        <f>IF(H124&gt;0,(H124*VLOOKUP(Lookups!$K$11,Lookups!$M$10:$P$40,4,0)/VLOOKUP(I124,Lookups!$M$10:$P$40,4,0)),"")</f>
        <v>208.21498549842957</v>
      </c>
      <c r="K124" s="15"/>
      <c r="L124" s="129"/>
      <c r="M124" s="19" t="str">
        <f>IF(K124&gt;0,(K124*VLOOKUP(Lookups!$K$11,Lookups!$M$10:$P$40,4,0)/VLOOKUP(L124,Lookups!$M$10:$P$40,4,0)),"")</f>
        <v/>
      </c>
      <c r="N124" s="15"/>
      <c r="O124" s="129"/>
      <c r="P124" s="19" t="str">
        <f>IF(N124&gt;0,(N124*VLOOKUP(Lookups!$K$11,Lookups!$M$10:$P$40,4,0)/VLOOKUP(O124,Lookups!$M$10:$P$40,4,0)),"")</f>
        <v/>
      </c>
      <c r="Q124" s="78" t="s">
        <v>535</v>
      </c>
      <c r="R124" s="17" t="s">
        <v>621</v>
      </c>
      <c r="S124" s="13" t="s">
        <v>961</v>
      </c>
      <c r="T124" s="4"/>
      <c r="U124" s="124" t="s">
        <v>287</v>
      </c>
    </row>
    <row r="125" spans="1:21" s="58" customFormat="1" ht="60" hidden="1" customHeight="1" outlineLevel="2" x14ac:dyDescent="0.2">
      <c r="A125" s="37" t="s">
        <v>703</v>
      </c>
      <c r="B125" s="37" t="s">
        <v>707</v>
      </c>
      <c r="C125" s="37" t="s">
        <v>291</v>
      </c>
      <c r="D125" s="45" t="s">
        <v>962</v>
      </c>
      <c r="E125" s="13" t="s">
        <v>534</v>
      </c>
      <c r="F125" s="13" t="s">
        <v>679</v>
      </c>
      <c r="G125" s="13" t="s">
        <v>1347</v>
      </c>
      <c r="H125" s="15">
        <v>23</v>
      </c>
      <c r="I125" s="129" t="s">
        <v>663</v>
      </c>
      <c r="J125" s="19">
        <f>IF(H125&gt;0,(H125*VLOOKUP(Lookups!$K$11,Lookups!$M$10:$P$40,4,0)/VLOOKUP(I125,Lookups!$M$10:$P$40,4,0)),"")</f>
        <v>25.747014335827313</v>
      </c>
      <c r="K125" s="15"/>
      <c r="L125" s="129"/>
      <c r="M125" s="19" t="str">
        <f>IF(K125&gt;0,(K125*VLOOKUP(Lookups!$K$11,Lookups!$M$10:$P$40,4,0)/VLOOKUP(L125,Lookups!$M$10:$P$40,4,0)),"")</f>
        <v/>
      </c>
      <c r="N125" s="15"/>
      <c r="O125" s="129"/>
      <c r="P125" s="19" t="str">
        <f>IF(N125&gt;0,(N125*VLOOKUP(Lookups!$K$11,Lookups!$M$10:$P$40,4,0)/VLOOKUP(O125,Lookups!$M$10:$P$40,4,0)),"")</f>
        <v/>
      </c>
      <c r="Q125" s="78" t="s">
        <v>535</v>
      </c>
      <c r="R125" s="17" t="s">
        <v>621</v>
      </c>
      <c r="S125" s="13" t="s">
        <v>569</v>
      </c>
      <c r="T125" s="4"/>
      <c r="U125" s="124" t="s">
        <v>287</v>
      </c>
    </row>
    <row r="126" spans="1:21" s="51" customFormat="1" ht="60" customHeight="1" collapsed="1" x14ac:dyDescent="0.2">
      <c r="A126" s="44" t="s">
        <v>703</v>
      </c>
      <c r="B126" s="44" t="s">
        <v>707</v>
      </c>
      <c r="C126" s="44" t="s">
        <v>1463</v>
      </c>
      <c r="D126" s="44" t="s">
        <v>1464</v>
      </c>
      <c r="E126" s="13" t="s">
        <v>620</v>
      </c>
      <c r="F126" s="13" t="s">
        <v>679</v>
      </c>
      <c r="G126" s="4" t="s">
        <v>1347</v>
      </c>
      <c r="H126" s="15">
        <v>119</v>
      </c>
      <c r="I126" s="129" t="s">
        <v>727</v>
      </c>
      <c r="J126" s="19">
        <f>IF(H126&gt;0,(H126*VLOOKUP(Lookups!$K$11,Lookups!$M$10:$P$40,4,0)/VLOOKUP(I126,Lookups!$M$10:$P$40,4,0)),"")</f>
        <v>122.71732199999998</v>
      </c>
      <c r="K126" s="15"/>
      <c r="L126" s="129"/>
      <c r="M126" s="19" t="str">
        <f>IF(K126&gt;0,(K126*VLOOKUP(Lookups!$K$11,Lookups!$M$10:$P$40,4,0)/VLOOKUP(L126,Lookups!$M$10:$P$40,4,0)),"")</f>
        <v/>
      </c>
      <c r="N126" s="15"/>
      <c r="O126" s="129"/>
      <c r="P126" s="19" t="str">
        <f>IF(N126&gt;0,(N126*VLOOKUP(Lookups!$K$11,Lookups!$M$10:$P$40,4,0)/VLOOKUP(O126,Lookups!$M$10:$P$40,4,0)),"")</f>
        <v/>
      </c>
      <c r="Q126" s="77" t="s">
        <v>2455</v>
      </c>
      <c r="R126" s="17" t="s">
        <v>621</v>
      </c>
      <c r="S126" s="4" t="s">
        <v>2456</v>
      </c>
      <c r="T126" s="4" t="s">
        <v>1912</v>
      </c>
      <c r="U126" s="110" t="s">
        <v>305</v>
      </c>
    </row>
    <row r="127" spans="1:21" s="58" customFormat="1" ht="60" customHeight="1" collapsed="1" x14ac:dyDescent="0.2">
      <c r="A127" s="44" t="s">
        <v>703</v>
      </c>
      <c r="B127" s="44" t="s">
        <v>1421</v>
      </c>
      <c r="C127" s="44" t="s">
        <v>292</v>
      </c>
      <c r="D127" s="44" t="s">
        <v>1465</v>
      </c>
      <c r="E127" s="13" t="s">
        <v>628</v>
      </c>
      <c r="F127" s="13" t="s">
        <v>679</v>
      </c>
      <c r="G127" s="37" t="s">
        <v>1347</v>
      </c>
      <c r="H127" s="50">
        <v>57</v>
      </c>
      <c r="I127" s="129" t="s">
        <v>727</v>
      </c>
      <c r="J127" s="19">
        <f>IF(H127&gt;0,(H127*VLOOKUP(Lookups!$K$11,Lookups!$M$10:$P$40,4,0)/VLOOKUP(I127,Lookups!$M$10:$P$40,4,0)),"")</f>
        <v>58.780565999999986</v>
      </c>
      <c r="K127" s="50"/>
      <c r="L127" s="129"/>
      <c r="M127" s="19" t="str">
        <f>IF(K127&gt;0,(K127*VLOOKUP(Lookups!$K$11,Lookups!$M$10:$P$40,4,0)/VLOOKUP(L127,Lookups!$M$10:$P$40,4,0)),"")</f>
        <v/>
      </c>
      <c r="N127" s="50"/>
      <c r="O127" s="129"/>
      <c r="P127" s="19" t="str">
        <f>IF(N127&gt;0,(N127*VLOOKUP(Lookups!$K$11,Lookups!$M$10:$P$40,4,0)/VLOOKUP(O127,Lookups!$M$10:$P$40,4,0)),"")</f>
        <v/>
      </c>
      <c r="Q127" s="77" t="s">
        <v>2457</v>
      </c>
      <c r="R127" s="17" t="s">
        <v>621</v>
      </c>
      <c r="S127" s="13" t="s">
        <v>2471</v>
      </c>
      <c r="T127" s="4" t="s">
        <v>1912</v>
      </c>
      <c r="U127" s="110" t="s">
        <v>305</v>
      </c>
    </row>
    <row r="128" spans="1:21" s="58" customFormat="1" ht="60" hidden="1" customHeight="1" outlineLevel="1" x14ac:dyDescent="0.2">
      <c r="A128" s="46" t="s">
        <v>703</v>
      </c>
      <c r="B128" s="46" t="s">
        <v>1421</v>
      </c>
      <c r="C128" s="46" t="s">
        <v>293</v>
      </c>
      <c r="D128" s="46" t="s">
        <v>1466</v>
      </c>
      <c r="E128" s="13" t="s">
        <v>628</v>
      </c>
      <c r="F128" s="13" t="s">
        <v>679</v>
      </c>
      <c r="G128" s="37" t="s">
        <v>1347</v>
      </c>
      <c r="H128" s="50">
        <v>40</v>
      </c>
      <c r="I128" s="129" t="s">
        <v>727</v>
      </c>
      <c r="J128" s="19">
        <f>IF(H128&gt;0,(H128*VLOOKUP(Lookups!$K$11,Lookups!$M$10:$P$40,4,0)/VLOOKUP(I128,Lookups!$M$10:$P$40,4,0)),"")</f>
        <v>41.249519999999997</v>
      </c>
      <c r="K128" s="50"/>
      <c r="L128" s="129"/>
      <c r="M128" s="19" t="str">
        <f>IF(K128&gt;0,(K128*VLOOKUP(Lookups!$K$11,Lookups!$M$10:$P$40,4,0)/VLOOKUP(L128,Lookups!$M$10:$P$40,4,0)),"")</f>
        <v/>
      </c>
      <c r="N128" s="50"/>
      <c r="O128" s="129"/>
      <c r="P128" s="19" t="str">
        <f>IF(N128&gt;0,(N128*VLOOKUP(Lookups!$K$11,Lookups!$M$10:$P$40,4,0)/VLOOKUP(O128,Lookups!$M$10:$P$40,4,0)),"")</f>
        <v/>
      </c>
      <c r="Q128" s="77" t="s">
        <v>2457</v>
      </c>
      <c r="R128" s="17" t="s">
        <v>621</v>
      </c>
      <c r="S128" s="13" t="s">
        <v>2470</v>
      </c>
      <c r="T128" s="4" t="s">
        <v>1912</v>
      </c>
      <c r="U128" s="110" t="s">
        <v>305</v>
      </c>
    </row>
    <row r="129" spans="1:21" s="57" customFormat="1" ht="60" hidden="1" customHeight="1" outlineLevel="1" x14ac:dyDescent="0.2">
      <c r="A129" s="46" t="s">
        <v>703</v>
      </c>
      <c r="B129" s="46" t="s">
        <v>1421</v>
      </c>
      <c r="C129" s="46" t="s">
        <v>294</v>
      </c>
      <c r="D129" s="46" t="s">
        <v>1467</v>
      </c>
      <c r="E129" s="13" t="s">
        <v>628</v>
      </c>
      <c r="F129" s="13" t="s">
        <v>679</v>
      </c>
      <c r="G129" s="37" t="s">
        <v>1347</v>
      </c>
      <c r="H129" s="50">
        <v>57</v>
      </c>
      <c r="I129" s="129" t="s">
        <v>727</v>
      </c>
      <c r="J129" s="19">
        <f>IF(H129&gt;0,(H129*VLOOKUP(Lookups!$K$11,Lookups!$M$10:$P$40,4,0)/VLOOKUP(I129,Lookups!$M$10:$P$40,4,0)),"")</f>
        <v>58.780565999999986</v>
      </c>
      <c r="K129" s="50"/>
      <c r="L129" s="129"/>
      <c r="M129" s="19" t="str">
        <f>IF(K129&gt;0,(K129*VLOOKUP(Lookups!$K$11,Lookups!$M$10:$P$40,4,0)/VLOOKUP(L129,Lookups!$M$10:$P$40,4,0)),"")</f>
        <v/>
      </c>
      <c r="N129" s="50"/>
      <c r="O129" s="129"/>
      <c r="P129" s="19" t="str">
        <f>IF(N129&gt;0,(N129*VLOOKUP(Lookups!$K$11,Lookups!$M$10:$P$40,4,0)/VLOOKUP(O129,Lookups!$M$10:$P$40,4,0)),"")</f>
        <v/>
      </c>
      <c r="Q129" s="77" t="s">
        <v>2472</v>
      </c>
      <c r="R129" s="17" t="s">
        <v>621</v>
      </c>
      <c r="S129" s="13" t="s">
        <v>2473</v>
      </c>
      <c r="T129" s="4" t="s">
        <v>1912</v>
      </c>
      <c r="U129" s="110" t="s">
        <v>305</v>
      </c>
    </row>
    <row r="130" spans="1:21" s="57" customFormat="1" ht="60" hidden="1" customHeight="1" outlineLevel="1" x14ac:dyDescent="0.2">
      <c r="A130" s="46" t="s">
        <v>703</v>
      </c>
      <c r="B130" s="46" t="s">
        <v>1421</v>
      </c>
      <c r="C130" s="46" t="s">
        <v>295</v>
      </c>
      <c r="D130" s="46" t="s">
        <v>1468</v>
      </c>
      <c r="E130" s="13" t="s">
        <v>628</v>
      </c>
      <c r="F130" s="13" t="s">
        <v>679</v>
      </c>
      <c r="G130" s="37" t="s">
        <v>1347</v>
      </c>
      <c r="H130" s="50">
        <v>40</v>
      </c>
      <c r="I130" s="129" t="s">
        <v>727</v>
      </c>
      <c r="J130" s="19">
        <f>IF(H130&gt;0,(H130*VLOOKUP(Lookups!$K$11,Lookups!$M$10:$P$40,4,0)/VLOOKUP(I130,Lookups!$M$10:$P$40,4,0)),"")</f>
        <v>41.249519999999997</v>
      </c>
      <c r="K130" s="50"/>
      <c r="L130" s="129"/>
      <c r="M130" s="19" t="str">
        <f>IF(K130&gt;0,(K130*VLOOKUP(Lookups!$K$11,Lookups!$M$10:$P$40,4,0)/VLOOKUP(L130,Lookups!$M$10:$P$40,4,0)),"")</f>
        <v/>
      </c>
      <c r="N130" s="50"/>
      <c r="O130" s="129"/>
      <c r="P130" s="19" t="str">
        <f>IF(N130&gt;0,(N130*VLOOKUP(Lookups!$K$11,Lookups!$M$10:$P$40,4,0)/VLOOKUP(O130,Lookups!$M$10:$P$40,4,0)),"")</f>
        <v/>
      </c>
      <c r="Q130" s="77" t="s">
        <v>2472</v>
      </c>
      <c r="R130" s="17" t="s">
        <v>621</v>
      </c>
      <c r="S130" s="13" t="s">
        <v>2357</v>
      </c>
      <c r="T130" s="4" t="s">
        <v>1912</v>
      </c>
      <c r="U130" s="110" t="s">
        <v>305</v>
      </c>
    </row>
    <row r="131" spans="1:21" s="58" customFormat="1" ht="60" hidden="1" customHeight="1" outlineLevel="1" x14ac:dyDescent="0.2">
      <c r="A131" s="46" t="s">
        <v>703</v>
      </c>
      <c r="B131" s="46" t="s">
        <v>1421</v>
      </c>
      <c r="C131" s="46" t="s">
        <v>296</v>
      </c>
      <c r="D131" s="46" t="s">
        <v>1469</v>
      </c>
      <c r="E131" s="13" t="s">
        <v>628</v>
      </c>
      <c r="F131" s="13" t="s">
        <v>679</v>
      </c>
      <c r="G131" s="13" t="s">
        <v>1347</v>
      </c>
      <c r="H131" s="50">
        <v>68</v>
      </c>
      <c r="I131" s="129" t="s">
        <v>727</v>
      </c>
      <c r="J131" s="19">
        <f>IF(H131&gt;0,(H131*VLOOKUP(Lookups!$K$11,Lookups!$M$10:$P$40,4,0)/VLOOKUP(I131,Lookups!$M$10:$P$40,4,0)),"")</f>
        <v>70.124184</v>
      </c>
      <c r="K131" s="50"/>
      <c r="L131" s="129"/>
      <c r="M131" s="19" t="str">
        <f>IF(K131&gt;0,(K131*VLOOKUP(Lookups!$K$11,Lookups!$M$10:$P$40,4,0)/VLOOKUP(L131,Lookups!$M$10:$P$40,4,0)),"")</f>
        <v/>
      </c>
      <c r="N131" s="50"/>
      <c r="O131" s="129"/>
      <c r="P131" s="19" t="str">
        <f>IF(N131&gt;0,(N131*VLOOKUP(Lookups!$K$11,Lookups!$M$10:$P$40,4,0)/VLOOKUP(O131,Lookups!$M$10:$P$40,4,0)),"")</f>
        <v/>
      </c>
      <c r="Q131" s="77" t="s">
        <v>2358</v>
      </c>
      <c r="R131" s="17" t="s">
        <v>621</v>
      </c>
      <c r="S131" s="13" t="s">
        <v>2359</v>
      </c>
      <c r="T131" s="4" t="s">
        <v>1912</v>
      </c>
      <c r="U131" s="110" t="s">
        <v>305</v>
      </c>
    </row>
    <row r="132" spans="1:21" s="58" customFormat="1" ht="60" hidden="1" customHeight="1" outlineLevel="1" x14ac:dyDescent="0.2">
      <c r="A132" s="46" t="s">
        <v>703</v>
      </c>
      <c r="B132" s="46" t="s">
        <v>1421</v>
      </c>
      <c r="C132" s="46" t="s">
        <v>297</v>
      </c>
      <c r="D132" s="46" t="s">
        <v>1470</v>
      </c>
      <c r="E132" s="13" t="s">
        <v>628</v>
      </c>
      <c r="F132" s="13" t="s">
        <v>679</v>
      </c>
      <c r="G132" s="13" t="s">
        <v>1347</v>
      </c>
      <c r="H132" s="50">
        <v>51</v>
      </c>
      <c r="I132" s="129" t="s">
        <v>727</v>
      </c>
      <c r="J132" s="19">
        <f>IF(H132&gt;0,(H132*VLOOKUP(Lookups!$K$11,Lookups!$M$10:$P$40,4,0)/VLOOKUP(I132,Lookups!$M$10:$P$40,4,0)),"")</f>
        <v>52.593137999999989</v>
      </c>
      <c r="K132" s="50"/>
      <c r="L132" s="129"/>
      <c r="M132" s="19" t="str">
        <f>IF(K132&gt;0,(K132*VLOOKUP(Lookups!$K$11,Lookups!$M$10:$P$40,4,0)/VLOOKUP(L132,Lookups!$M$10:$P$40,4,0)),"")</f>
        <v/>
      </c>
      <c r="N132" s="50"/>
      <c r="O132" s="129"/>
      <c r="P132" s="19" t="str">
        <f>IF(N132&gt;0,(N132*VLOOKUP(Lookups!$K$11,Lookups!$M$10:$P$40,4,0)/VLOOKUP(O132,Lookups!$M$10:$P$40,4,0)),"")</f>
        <v/>
      </c>
      <c r="Q132" s="77" t="s">
        <v>2358</v>
      </c>
      <c r="R132" s="17" t="s">
        <v>621</v>
      </c>
      <c r="S132" s="13" t="s">
        <v>2360</v>
      </c>
      <c r="T132" s="4" t="s">
        <v>1912</v>
      </c>
      <c r="U132" s="110" t="s">
        <v>305</v>
      </c>
    </row>
    <row r="133" spans="1:21" s="58" customFormat="1" ht="60" hidden="1" customHeight="1" outlineLevel="1" x14ac:dyDescent="0.2">
      <c r="A133" s="46" t="s">
        <v>703</v>
      </c>
      <c r="B133" s="46" t="s">
        <v>1421</v>
      </c>
      <c r="C133" s="46" t="s">
        <v>298</v>
      </c>
      <c r="D133" s="46" t="s">
        <v>1471</v>
      </c>
      <c r="E133" s="13" t="s">
        <v>628</v>
      </c>
      <c r="F133" s="13" t="s">
        <v>679</v>
      </c>
      <c r="G133" s="13" t="s">
        <v>1347</v>
      </c>
      <c r="H133" s="50">
        <v>29</v>
      </c>
      <c r="I133" s="129" t="s">
        <v>727</v>
      </c>
      <c r="J133" s="19">
        <f>IF(H133&gt;0,(H133*VLOOKUP(Lookups!$K$11,Lookups!$M$10:$P$40,4,0)/VLOOKUP(I133,Lookups!$M$10:$P$40,4,0)),"")</f>
        <v>29.905901999999998</v>
      </c>
      <c r="K133" s="50"/>
      <c r="L133" s="129"/>
      <c r="M133" s="19" t="str">
        <f>IF(K133&gt;0,(K133*VLOOKUP(Lookups!$K$11,Lookups!$M$10:$P$40,4,0)/VLOOKUP(L133,Lookups!$M$10:$P$40,4,0)),"")</f>
        <v/>
      </c>
      <c r="N133" s="50"/>
      <c r="O133" s="129"/>
      <c r="P133" s="19" t="str">
        <f>IF(N133&gt;0,(N133*VLOOKUP(Lookups!$K$11,Lookups!$M$10:$P$40,4,0)/VLOOKUP(O133,Lookups!$M$10:$P$40,4,0)),"")</f>
        <v/>
      </c>
      <c r="Q133" s="77" t="s">
        <v>2361</v>
      </c>
      <c r="R133" s="17" t="s">
        <v>621</v>
      </c>
      <c r="S133" s="13" t="s">
        <v>1472</v>
      </c>
      <c r="T133" s="4" t="s">
        <v>1912</v>
      </c>
      <c r="U133" s="110" t="s">
        <v>305</v>
      </c>
    </row>
    <row r="134" spans="1:21" s="51" customFormat="1" ht="60" hidden="1" customHeight="1" outlineLevel="1" x14ac:dyDescent="0.2">
      <c r="A134" s="46" t="s">
        <v>703</v>
      </c>
      <c r="B134" s="46" t="s">
        <v>1421</v>
      </c>
      <c r="C134" s="46" t="s">
        <v>299</v>
      </c>
      <c r="D134" s="46" t="s">
        <v>1473</v>
      </c>
      <c r="E134" s="13" t="s">
        <v>628</v>
      </c>
      <c r="F134" s="13" t="s">
        <v>679</v>
      </c>
      <c r="G134" s="37" t="s">
        <v>1347</v>
      </c>
      <c r="H134" s="50">
        <v>37</v>
      </c>
      <c r="I134" s="129" t="s">
        <v>727</v>
      </c>
      <c r="J134" s="19">
        <f>IF(H134&gt;0,(H134*VLOOKUP(Lookups!$K$11,Lookups!$M$10:$P$40,4,0)/VLOOKUP(I134,Lookups!$M$10:$P$40,4,0)),"")</f>
        <v>38.155805999999998</v>
      </c>
      <c r="K134" s="50"/>
      <c r="L134" s="129"/>
      <c r="M134" s="19" t="str">
        <f>IF(K134&gt;0,(K134*VLOOKUP(Lookups!$K$11,Lookups!$M$10:$P$40,4,0)/VLOOKUP(L134,Lookups!$M$10:$P$40,4,0)),"")</f>
        <v/>
      </c>
      <c r="N134" s="50"/>
      <c r="O134" s="129"/>
      <c r="P134" s="19" t="str">
        <f>IF(N134&gt;0,(N134*VLOOKUP(Lookups!$K$11,Lookups!$M$10:$P$40,4,0)/VLOOKUP(O134,Lookups!$M$10:$P$40,4,0)),"")</f>
        <v/>
      </c>
      <c r="Q134" s="77" t="s">
        <v>2409</v>
      </c>
      <c r="R134" s="17" t="s">
        <v>621</v>
      </c>
      <c r="S134" s="13" t="s">
        <v>2362</v>
      </c>
      <c r="T134" s="4" t="s">
        <v>1912</v>
      </c>
      <c r="U134" s="110" t="s">
        <v>305</v>
      </c>
    </row>
    <row r="135" spans="1:21" s="51" customFormat="1" ht="60" hidden="1" customHeight="1" outlineLevel="1" x14ac:dyDescent="0.2">
      <c r="A135" s="46" t="s">
        <v>703</v>
      </c>
      <c r="B135" s="46" t="s">
        <v>1421</v>
      </c>
      <c r="C135" s="46" t="s">
        <v>300</v>
      </c>
      <c r="D135" s="46" t="s">
        <v>1474</v>
      </c>
      <c r="E135" s="13" t="s">
        <v>628</v>
      </c>
      <c r="F135" s="13" t="s">
        <v>679</v>
      </c>
      <c r="G135" s="4" t="s">
        <v>1347</v>
      </c>
      <c r="H135" s="50">
        <v>44</v>
      </c>
      <c r="I135" s="129" t="s">
        <v>727</v>
      </c>
      <c r="J135" s="19">
        <f>IF(H135&gt;0,(H135*VLOOKUP(Lookups!$K$11,Lookups!$M$10:$P$40,4,0)/VLOOKUP(I135,Lookups!$M$10:$P$40,4,0)),"")</f>
        <v>45.374471999999997</v>
      </c>
      <c r="K135" s="50"/>
      <c r="L135" s="129"/>
      <c r="M135" s="19" t="str">
        <f>IF(K135&gt;0,(K135*VLOOKUP(Lookups!$K$11,Lookups!$M$10:$P$40,4,0)/VLOOKUP(L135,Lookups!$M$10:$P$40,4,0)),"")</f>
        <v/>
      </c>
      <c r="N135" s="50"/>
      <c r="O135" s="129"/>
      <c r="P135" s="19" t="str">
        <f>IF(N135&gt;0,(N135*VLOOKUP(Lookups!$K$11,Lookups!$M$10:$P$40,4,0)/VLOOKUP(O135,Lookups!$M$10:$P$40,4,0)),"")</f>
        <v/>
      </c>
      <c r="Q135" s="77" t="s">
        <v>2363</v>
      </c>
      <c r="R135" s="17" t="s">
        <v>621</v>
      </c>
      <c r="S135" s="13" t="s">
        <v>2364</v>
      </c>
      <c r="T135" s="4" t="s">
        <v>1912</v>
      </c>
      <c r="U135" s="110" t="s">
        <v>305</v>
      </c>
    </row>
    <row r="136" spans="1:21" s="51" customFormat="1" ht="60" hidden="1" customHeight="1" outlineLevel="1" x14ac:dyDescent="0.2">
      <c r="A136" s="46" t="s">
        <v>703</v>
      </c>
      <c r="B136" s="46" t="s">
        <v>1421</v>
      </c>
      <c r="C136" s="46" t="s">
        <v>301</v>
      </c>
      <c r="D136" s="46" t="s">
        <v>1475</v>
      </c>
      <c r="E136" s="13" t="s">
        <v>628</v>
      </c>
      <c r="F136" s="13" t="s">
        <v>679</v>
      </c>
      <c r="G136" s="4" t="s">
        <v>1347</v>
      </c>
      <c r="H136" s="50">
        <v>41</v>
      </c>
      <c r="I136" s="129" t="s">
        <v>727</v>
      </c>
      <c r="J136" s="19">
        <f>IF(H136&gt;0,(H136*VLOOKUP(Lookups!$K$11,Lookups!$M$10:$P$40,4,0)/VLOOKUP(I136,Lookups!$M$10:$P$40,4,0)),"")</f>
        <v>42.280757999999992</v>
      </c>
      <c r="K136" s="50"/>
      <c r="L136" s="129"/>
      <c r="M136" s="19" t="str">
        <f>IF(K136&gt;0,(K136*VLOOKUP(Lookups!$K$11,Lookups!$M$10:$P$40,4,0)/VLOOKUP(L136,Lookups!$M$10:$P$40,4,0)),"")</f>
        <v/>
      </c>
      <c r="N136" s="50"/>
      <c r="O136" s="129"/>
      <c r="P136" s="19" t="str">
        <f>IF(N136&gt;0,(N136*VLOOKUP(Lookups!$K$11,Lookups!$M$10:$P$40,4,0)/VLOOKUP(O136,Lookups!$M$10:$P$40,4,0)),"")</f>
        <v/>
      </c>
      <c r="Q136" s="77" t="s">
        <v>2363</v>
      </c>
      <c r="R136" s="17" t="s">
        <v>621</v>
      </c>
      <c r="S136" s="13" t="s">
        <v>2365</v>
      </c>
      <c r="T136" s="4" t="s">
        <v>1912</v>
      </c>
      <c r="U136" s="110" t="s">
        <v>305</v>
      </c>
    </row>
    <row r="137" spans="1:21" s="51" customFormat="1" ht="60" hidden="1" customHeight="1" outlineLevel="1" x14ac:dyDescent="0.2">
      <c r="A137" s="46" t="s">
        <v>703</v>
      </c>
      <c r="B137" s="46" t="s">
        <v>1421</v>
      </c>
      <c r="C137" s="46" t="s">
        <v>302</v>
      </c>
      <c r="D137" s="46" t="s">
        <v>1476</v>
      </c>
      <c r="E137" s="13" t="s">
        <v>628</v>
      </c>
      <c r="F137" s="13" t="s">
        <v>679</v>
      </c>
      <c r="G137" s="37" t="s">
        <v>1347</v>
      </c>
      <c r="H137" s="50">
        <v>30</v>
      </c>
      <c r="I137" s="129" t="s">
        <v>727</v>
      </c>
      <c r="J137" s="19">
        <f>IF(H137&gt;0,(H137*VLOOKUP(Lookups!$K$11,Lookups!$M$10:$P$40,4,0)/VLOOKUP(I137,Lookups!$M$10:$P$40,4,0)),"")</f>
        <v>30.937139999999996</v>
      </c>
      <c r="K137" s="50"/>
      <c r="L137" s="129"/>
      <c r="M137" s="19" t="str">
        <f>IF(K137&gt;0,(K137*VLOOKUP(Lookups!$K$11,Lookups!$M$10:$P$40,4,0)/VLOOKUP(L137,Lookups!$M$10:$P$40,4,0)),"")</f>
        <v/>
      </c>
      <c r="N137" s="50"/>
      <c r="O137" s="129"/>
      <c r="P137" s="19" t="str">
        <f>IF(N137&gt;0,(N137*VLOOKUP(Lookups!$K$11,Lookups!$M$10:$P$40,4,0)/VLOOKUP(O137,Lookups!$M$10:$P$40,4,0)),"")</f>
        <v/>
      </c>
      <c r="Q137" s="77" t="s">
        <v>2366</v>
      </c>
      <c r="R137" s="17" t="s">
        <v>621</v>
      </c>
      <c r="S137" s="13" t="s">
        <v>2367</v>
      </c>
      <c r="T137" s="4" t="s">
        <v>1912</v>
      </c>
      <c r="U137" s="110" t="s">
        <v>305</v>
      </c>
    </row>
    <row r="138" spans="1:21" s="51" customFormat="1" ht="60" hidden="1" customHeight="1" outlineLevel="1" x14ac:dyDescent="0.2">
      <c r="A138" s="46" t="s">
        <v>703</v>
      </c>
      <c r="B138" s="46" t="s">
        <v>1421</v>
      </c>
      <c r="C138" s="46" t="s">
        <v>303</v>
      </c>
      <c r="D138" s="46" t="s">
        <v>1477</v>
      </c>
      <c r="E138" s="13" t="s">
        <v>628</v>
      </c>
      <c r="F138" s="13" t="s">
        <v>679</v>
      </c>
      <c r="G138" s="37" t="s">
        <v>1347</v>
      </c>
      <c r="H138" s="50">
        <v>59.28085519922255</v>
      </c>
      <c r="I138" s="129" t="s">
        <v>664</v>
      </c>
      <c r="J138" s="19">
        <f>IF(H138&gt;0,(H138*VLOOKUP(Lookups!$K$11,Lookups!$M$10:$P$40,4,0)/VLOOKUP(I138,Lookups!$M$10:$P$40,4,0)),"")</f>
        <v>64.573688504562668</v>
      </c>
      <c r="K138" s="50"/>
      <c r="L138" s="129"/>
      <c r="M138" s="19" t="str">
        <f>IF(K138&gt;0,(K138*VLOOKUP(Lookups!$K$11,Lookups!$M$10:$P$40,4,0)/VLOOKUP(L138,Lookups!$M$10:$P$40,4,0)),"")</f>
        <v/>
      </c>
      <c r="N138" s="50"/>
      <c r="O138" s="129"/>
      <c r="P138" s="19" t="str">
        <f>IF(N138&gt;0,(N138*VLOOKUP(Lookups!$K$11,Lookups!$M$10:$P$40,4,0)/VLOOKUP(O138,Lookups!$M$10:$P$40,4,0)),"")</f>
        <v/>
      </c>
      <c r="Q138" s="77" t="s">
        <v>1478</v>
      </c>
      <c r="R138" s="17" t="s">
        <v>621</v>
      </c>
      <c r="S138" s="13" t="s">
        <v>2526</v>
      </c>
      <c r="T138" s="111"/>
      <c r="U138" s="120" t="s">
        <v>306</v>
      </c>
    </row>
    <row r="139" spans="1:21" s="51" customFormat="1" ht="60" hidden="1" customHeight="1" outlineLevel="1" x14ac:dyDescent="0.2">
      <c r="A139" s="46" t="s">
        <v>703</v>
      </c>
      <c r="B139" s="46" t="s">
        <v>1421</v>
      </c>
      <c r="C139" s="46" t="s">
        <v>304</v>
      </c>
      <c r="D139" s="46" t="s">
        <v>1479</v>
      </c>
      <c r="E139" s="13" t="s">
        <v>628</v>
      </c>
      <c r="F139" s="13" t="s">
        <v>679</v>
      </c>
      <c r="G139" s="37" t="s">
        <v>1347</v>
      </c>
      <c r="H139" s="50">
        <v>44.70359572400389</v>
      </c>
      <c r="I139" s="129" t="s">
        <v>664</v>
      </c>
      <c r="J139" s="19">
        <f>IF(H139&gt;0,(H139*VLOOKUP(Lookups!$K$11,Lookups!$M$10:$P$40,4,0)/VLOOKUP(I139,Lookups!$M$10:$P$40,4,0)),"")</f>
        <v>48.694912642784963</v>
      </c>
      <c r="K139" s="50"/>
      <c r="L139" s="129"/>
      <c r="M139" s="19" t="str">
        <f>IF(K139&gt;0,(K139*VLOOKUP(Lookups!$K$11,Lookups!$M$10:$P$40,4,0)/VLOOKUP(L139,Lookups!$M$10:$P$40,4,0)),"")</f>
        <v/>
      </c>
      <c r="N139" s="50"/>
      <c r="O139" s="129"/>
      <c r="P139" s="19" t="str">
        <f>IF(N139&gt;0,(N139*VLOOKUP(Lookups!$K$11,Lookups!$M$10:$P$40,4,0)/VLOOKUP(O139,Lookups!$M$10:$P$40,4,0)),"")</f>
        <v/>
      </c>
      <c r="Q139" s="77" t="s">
        <v>1478</v>
      </c>
      <c r="R139" s="17" t="s">
        <v>621</v>
      </c>
      <c r="S139" s="13" t="s">
        <v>2527</v>
      </c>
      <c r="T139" s="111"/>
      <c r="U139" s="120" t="s">
        <v>306</v>
      </c>
    </row>
    <row r="143" spans="1:21" ht="12.75" customHeight="1" x14ac:dyDescent="0.2">
      <c r="A143" s="179" t="s">
        <v>1231</v>
      </c>
      <c r="D143" s="80"/>
      <c r="I143" s="129" t="s">
        <v>729</v>
      </c>
      <c r="L143" s="129" t="s">
        <v>729</v>
      </c>
      <c r="O143" s="129" t="s">
        <v>729</v>
      </c>
      <c r="R143" s="38" t="s">
        <v>616</v>
      </c>
      <c r="T143" s="5" t="s">
        <v>1911</v>
      </c>
    </row>
    <row r="144" spans="1:21" x14ac:dyDescent="0.2">
      <c r="A144" s="180"/>
      <c r="D144" s="80"/>
      <c r="I144" s="129" t="s">
        <v>728</v>
      </c>
      <c r="L144" s="129" t="s">
        <v>728</v>
      </c>
      <c r="O144" s="129" t="s">
        <v>728</v>
      </c>
      <c r="R144" s="38" t="s">
        <v>619</v>
      </c>
      <c r="T144" s="5" t="s">
        <v>1912</v>
      </c>
    </row>
    <row r="145" spans="1:18" x14ac:dyDescent="0.2">
      <c r="A145" s="180"/>
      <c r="D145" s="80"/>
      <c r="I145" s="129" t="s">
        <v>727</v>
      </c>
      <c r="L145" s="129" t="s">
        <v>727</v>
      </c>
      <c r="O145" s="129" t="s">
        <v>727</v>
      </c>
      <c r="R145" s="38" t="s">
        <v>621</v>
      </c>
    </row>
    <row r="146" spans="1:18" x14ac:dyDescent="0.2">
      <c r="A146" s="180"/>
      <c r="D146" s="80"/>
      <c r="I146" s="129" t="s">
        <v>726</v>
      </c>
      <c r="L146" s="129" t="s">
        <v>726</v>
      </c>
      <c r="O146" s="129" t="s">
        <v>726</v>
      </c>
    </row>
    <row r="147" spans="1:18" x14ac:dyDescent="0.2">
      <c r="A147" s="180"/>
      <c r="D147" s="80"/>
      <c r="I147" s="129" t="s">
        <v>665</v>
      </c>
      <c r="L147" s="129" t="s">
        <v>665</v>
      </c>
      <c r="O147" s="129" t="s">
        <v>665</v>
      </c>
    </row>
    <row r="148" spans="1:18" x14ac:dyDescent="0.2">
      <c r="A148" s="180"/>
      <c r="D148" s="80"/>
      <c r="I148" s="129" t="s">
        <v>664</v>
      </c>
      <c r="L148" s="129" t="s">
        <v>664</v>
      </c>
      <c r="O148" s="129" t="s">
        <v>664</v>
      </c>
    </row>
    <row r="149" spans="1:18" x14ac:dyDescent="0.2">
      <c r="A149" s="180"/>
      <c r="D149" s="80"/>
      <c r="I149" s="129" t="s">
        <v>663</v>
      </c>
      <c r="L149" s="129" t="s">
        <v>663</v>
      </c>
      <c r="O149" s="129" t="s">
        <v>663</v>
      </c>
    </row>
    <row r="150" spans="1:18" x14ac:dyDescent="0.2">
      <c r="A150" s="180"/>
      <c r="D150" s="80"/>
      <c r="I150" s="129" t="s">
        <v>662</v>
      </c>
      <c r="L150" s="129" t="s">
        <v>662</v>
      </c>
      <c r="O150" s="129" t="s">
        <v>662</v>
      </c>
    </row>
    <row r="151" spans="1:18" x14ac:dyDescent="0.2">
      <c r="A151" s="180"/>
      <c r="D151" s="80"/>
      <c r="I151" s="129" t="s">
        <v>661</v>
      </c>
      <c r="L151" s="129" t="s">
        <v>661</v>
      </c>
      <c r="O151" s="129" t="s">
        <v>661</v>
      </c>
    </row>
    <row r="152" spans="1:18" x14ac:dyDescent="0.2">
      <c r="A152" s="180"/>
      <c r="D152" s="80"/>
      <c r="I152" s="129" t="s">
        <v>660</v>
      </c>
      <c r="L152" s="129" t="s">
        <v>660</v>
      </c>
      <c r="O152" s="129" t="s">
        <v>660</v>
      </c>
    </row>
    <row r="153" spans="1:18" x14ac:dyDescent="0.2">
      <c r="A153" s="180"/>
      <c r="D153" s="80"/>
      <c r="I153" s="129" t="s">
        <v>659</v>
      </c>
      <c r="L153" s="129" t="s">
        <v>659</v>
      </c>
      <c r="O153" s="129" t="s">
        <v>659</v>
      </c>
    </row>
    <row r="154" spans="1:18" x14ac:dyDescent="0.2">
      <c r="A154" s="180"/>
      <c r="D154" s="80"/>
      <c r="I154" s="129" t="s">
        <v>658</v>
      </c>
      <c r="L154" s="129" t="s">
        <v>658</v>
      </c>
      <c r="O154" s="129" t="s">
        <v>658</v>
      </c>
    </row>
    <row r="155" spans="1:18" x14ac:dyDescent="0.2">
      <c r="A155" s="180"/>
      <c r="D155" s="80"/>
      <c r="I155" s="129" t="s">
        <v>657</v>
      </c>
      <c r="L155" s="129" t="s">
        <v>657</v>
      </c>
      <c r="O155" s="129" t="s">
        <v>657</v>
      </c>
    </row>
    <row r="156" spans="1:18" x14ac:dyDescent="0.2">
      <c r="A156" s="180"/>
      <c r="D156" s="80"/>
      <c r="I156" s="129" t="s">
        <v>656</v>
      </c>
      <c r="L156" s="129" t="s">
        <v>656</v>
      </c>
      <c r="O156" s="129" t="s">
        <v>656</v>
      </c>
    </row>
    <row r="157" spans="1:18" x14ac:dyDescent="0.2">
      <c r="A157" s="180"/>
      <c r="D157" s="80"/>
      <c r="I157" s="129" t="s">
        <v>653</v>
      </c>
      <c r="L157" s="129" t="s">
        <v>653</v>
      </c>
      <c r="O157" s="129" t="s">
        <v>653</v>
      </c>
    </row>
    <row r="158" spans="1:18" x14ac:dyDescent="0.2">
      <c r="A158" s="180"/>
      <c r="D158" s="80"/>
      <c r="I158" s="129" t="s">
        <v>654</v>
      </c>
      <c r="L158" s="129" t="s">
        <v>654</v>
      </c>
      <c r="O158" s="129" t="s">
        <v>654</v>
      </c>
    </row>
    <row r="159" spans="1:18" x14ac:dyDescent="0.2">
      <c r="A159" s="180"/>
      <c r="D159" s="80"/>
      <c r="I159" s="129" t="s">
        <v>655</v>
      </c>
      <c r="L159" s="129" t="s">
        <v>655</v>
      </c>
      <c r="O159" s="129" t="s">
        <v>655</v>
      </c>
    </row>
    <row r="160" spans="1:18" x14ac:dyDescent="0.2">
      <c r="A160" s="180"/>
      <c r="D160" s="80"/>
      <c r="I160" s="129" t="s">
        <v>652</v>
      </c>
      <c r="L160" s="129" t="s">
        <v>652</v>
      </c>
      <c r="O160" s="129" t="s">
        <v>652</v>
      </c>
    </row>
    <row r="161" spans="1:15" x14ac:dyDescent="0.2">
      <c r="A161" s="180"/>
      <c r="D161" s="80"/>
      <c r="I161" s="129" t="s">
        <v>651</v>
      </c>
      <c r="L161" s="129" t="s">
        <v>651</v>
      </c>
      <c r="O161" s="129" t="s">
        <v>651</v>
      </c>
    </row>
    <row r="162" spans="1:15" x14ac:dyDescent="0.2">
      <c r="A162" s="180"/>
      <c r="D162" s="80"/>
      <c r="I162" s="129" t="s">
        <v>650</v>
      </c>
      <c r="L162" s="129" t="s">
        <v>650</v>
      </c>
      <c r="O162" s="129" t="s">
        <v>650</v>
      </c>
    </row>
    <row r="163" spans="1:15" x14ac:dyDescent="0.2">
      <c r="A163" s="180"/>
      <c r="D163" s="80"/>
      <c r="I163" s="129" t="s">
        <v>649</v>
      </c>
      <c r="L163" s="129" t="s">
        <v>649</v>
      </c>
      <c r="O163" s="129" t="s">
        <v>649</v>
      </c>
    </row>
    <row r="164" spans="1:15" x14ac:dyDescent="0.2">
      <c r="A164" s="180"/>
      <c r="D164" s="80"/>
      <c r="I164" s="129" t="s">
        <v>725</v>
      </c>
      <c r="L164" s="129" t="s">
        <v>725</v>
      </c>
      <c r="O164" s="129" t="s">
        <v>725</v>
      </c>
    </row>
    <row r="165" spans="1:15" x14ac:dyDescent="0.2">
      <c r="A165" s="180"/>
      <c r="D165" s="80"/>
      <c r="I165" s="129" t="s">
        <v>724</v>
      </c>
      <c r="L165" s="129" t="s">
        <v>724</v>
      </c>
      <c r="O165" s="129" t="s">
        <v>724</v>
      </c>
    </row>
    <row r="166" spans="1:15" x14ac:dyDescent="0.2">
      <c r="A166" s="180"/>
      <c r="D166" s="80"/>
      <c r="I166" s="129" t="s">
        <v>723</v>
      </c>
      <c r="L166" s="129" t="s">
        <v>723</v>
      </c>
      <c r="O166" s="129" t="s">
        <v>723</v>
      </c>
    </row>
    <row r="167" spans="1:15" x14ac:dyDescent="0.2">
      <c r="D167" s="80"/>
      <c r="I167" s="129" t="s">
        <v>722</v>
      </c>
      <c r="L167" s="129" t="s">
        <v>722</v>
      </c>
      <c r="O167" s="129" t="s">
        <v>722</v>
      </c>
    </row>
    <row r="168" spans="1:15" x14ac:dyDescent="0.2">
      <c r="D168" s="80"/>
      <c r="I168" s="129" t="s">
        <v>721</v>
      </c>
      <c r="L168" s="129" t="s">
        <v>721</v>
      </c>
      <c r="O168" s="129" t="s">
        <v>721</v>
      </c>
    </row>
    <row r="169" spans="1:15" x14ac:dyDescent="0.2">
      <c r="D169" s="80"/>
      <c r="I169" s="129" t="s">
        <v>720</v>
      </c>
      <c r="L169" s="129" t="s">
        <v>720</v>
      </c>
      <c r="O169" s="129" t="s">
        <v>720</v>
      </c>
    </row>
    <row r="170" spans="1:15" x14ac:dyDescent="0.2">
      <c r="D170" s="80"/>
    </row>
    <row r="171" spans="1:15" x14ac:dyDescent="0.2">
      <c r="D171" s="80"/>
    </row>
    <row r="172" spans="1:15" x14ac:dyDescent="0.2">
      <c r="D172" s="80"/>
    </row>
    <row r="173" spans="1:15" x14ac:dyDescent="0.2">
      <c r="D173" s="80"/>
    </row>
    <row r="174" spans="1:15" x14ac:dyDescent="0.2">
      <c r="D174" s="80"/>
    </row>
    <row r="175" spans="1:15" x14ac:dyDescent="0.2">
      <c r="D175" s="80"/>
    </row>
    <row r="176" spans="1:15" x14ac:dyDescent="0.2">
      <c r="D176" s="80"/>
    </row>
    <row r="177" spans="4:4" x14ac:dyDescent="0.2">
      <c r="D177" s="80"/>
    </row>
    <row r="178" spans="4:4" x14ac:dyDescent="0.2">
      <c r="D178" s="80"/>
    </row>
    <row r="179" spans="4:4" x14ac:dyDescent="0.2">
      <c r="D179" s="80"/>
    </row>
    <row r="180" spans="4:4" x14ac:dyDescent="0.2">
      <c r="D180" s="80"/>
    </row>
    <row r="181" spans="4:4" x14ac:dyDescent="0.2">
      <c r="D181" s="80"/>
    </row>
    <row r="182" spans="4:4" x14ac:dyDescent="0.2">
      <c r="D182" s="80"/>
    </row>
    <row r="183" spans="4:4" x14ac:dyDescent="0.2">
      <c r="D183" s="80"/>
    </row>
    <row r="184" spans="4:4" x14ac:dyDescent="0.2">
      <c r="D184" s="80"/>
    </row>
    <row r="185" spans="4:4" x14ac:dyDescent="0.2">
      <c r="D185" s="80"/>
    </row>
    <row r="186" spans="4:4" x14ac:dyDescent="0.2">
      <c r="D186" s="80"/>
    </row>
    <row r="187" spans="4:4" x14ac:dyDescent="0.2">
      <c r="D187" s="80"/>
    </row>
    <row r="188" spans="4:4" x14ac:dyDescent="0.2">
      <c r="D188" s="80"/>
    </row>
    <row r="189" spans="4:4" x14ac:dyDescent="0.2">
      <c r="D189" s="80"/>
    </row>
    <row r="190" spans="4:4" x14ac:dyDescent="0.2">
      <c r="D190" s="80"/>
    </row>
    <row r="191" spans="4:4" x14ac:dyDescent="0.2">
      <c r="D191" s="80"/>
    </row>
    <row r="192" spans="4:4" x14ac:dyDescent="0.2">
      <c r="D192" s="80"/>
    </row>
    <row r="193" spans="4:4" x14ac:dyDescent="0.2">
      <c r="D193" s="80"/>
    </row>
    <row r="194" spans="4:4" x14ac:dyDescent="0.2">
      <c r="D194" s="80"/>
    </row>
    <row r="195" spans="4:4" x14ac:dyDescent="0.2">
      <c r="D195" s="80"/>
    </row>
    <row r="196" spans="4:4" x14ac:dyDescent="0.2">
      <c r="D196" s="80"/>
    </row>
    <row r="197" spans="4:4" x14ac:dyDescent="0.2">
      <c r="D197" s="80"/>
    </row>
    <row r="198" spans="4:4" x14ac:dyDescent="0.2">
      <c r="D198" s="80"/>
    </row>
    <row r="199" spans="4:4" x14ac:dyDescent="0.2">
      <c r="D199" s="80"/>
    </row>
    <row r="200" spans="4:4" x14ac:dyDescent="0.2">
      <c r="D200" s="80"/>
    </row>
    <row r="201" spans="4:4" x14ac:dyDescent="0.2">
      <c r="D201" s="80"/>
    </row>
    <row r="202" spans="4:4" x14ac:dyDescent="0.2">
      <c r="D202" s="80"/>
    </row>
    <row r="203" spans="4:4" x14ac:dyDescent="0.2">
      <c r="D203" s="80"/>
    </row>
    <row r="204" spans="4:4" x14ac:dyDescent="0.2">
      <c r="D204" s="80"/>
    </row>
    <row r="205" spans="4:4" x14ac:dyDescent="0.2">
      <c r="D205" s="80"/>
    </row>
    <row r="206" spans="4:4" x14ac:dyDescent="0.2">
      <c r="D206" s="80"/>
    </row>
    <row r="207" spans="4:4" x14ac:dyDescent="0.2">
      <c r="D207" s="80"/>
    </row>
    <row r="208" spans="4:4" x14ac:dyDescent="0.2">
      <c r="D208" s="80"/>
    </row>
    <row r="209" spans="4:4" x14ac:dyDescent="0.2">
      <c r="D209" s="80"/>
    </row>
    <row r="210" spans="4:4" x14ac:dyDescent="0.2">
      <c r="D210" s="80"/>
    </row>
    <row r="211" spans="4:4" x14ac:dyDescent="0.2">
      <c r="D211" s="80"/>
    </row>
    <row r="212" spans="4:4" x14ac:dyDescent="0.2">
      <c r="D212" s="80"/>
    </row>
    <row r="213" spans="4:4" x14ac:dyDescent="0.2">
      <c r="D213" s="80"/>
    </row>
    <row r="214" spans="4:4" x14ac:dyDescent="0.2">
      <c r="D214" s="80"/>
    </row>
    <row r="215" spans="4:4" x14ac:dyDescent="0.2">
      <c r="D215" s="80"/>
    </row>
    <row r="216" spans="4:4" x14ac:dyDescent="0.2">
      <c r="D216" s="80"/>
    </row>
    <row r="217" spans="4:4" x14ac:dyDescent="0.2">
      <c r="D217" s="80"/>
    </row>
    <row r="218" spans="4:4" x14ac:dyDescent="0.2">
      <c r="D218" s="80"/>
    </row>
    <row r="219" spans="4:4" x14ac:dyDescent="0.2">
      <c r="D219" s="80"/>
    </row>
    <row r="220" spans="4:4" x14ac:dyDescent="0.2">
      <c r="D220" s="80"/>
    </row>
    <row r="221" spans="4:4" x14ac:dyDescent="0.2">
      <c r="D221" s="80"/>
    </row>
    <row r="222" spans="4:4" x14ac:dyDescent="0.2">
      <c r="D222" s="80"/>
    </row>
    <row r="223" spans="4:4" x14ac:dyDescent="0.2">
      <c r="D223" s="80"/>
    </row>
    <row r="224" spans="4:4" x14ac:dyDescent="0.2">
      <c r="D224" s="80"/>
    </row>
    <row r="225" spans="4:4" x14ac:dyDescent="0.2">
      <c r="D225" s="80"/>
    </row>
    <row r="226" spans="4:4" x14ac:dyDescent="0.2">
      <c r="D226" s="80"/>
    </row>
    <row r="227" spans="4:4" x14ac:dyDescent="0.2">
      <c r="D227" s="80"/>
    </row>
    <row r="228" spans="4:4" x14ac:dyDescent="0.2">
      <c r="D228" s="80"/>
    </row>
    <row r="229" spans="4:4" x14ac:dyDescent="0.2">
      <c r="D229" s="80"/>
    </row>
    <row r="230" spans="4:4" x14ac:dyDescent="0.2">
      <c r="D230" s="80"/>
    </row>
    <row r="231" spans="4:4" x14ac:dyDescent="0.2">
      <c r="D231" s="80"/>
    </row>
    <row r="232" spans="4:4" x14ac:dyDescent="0.2">
      <c r="D232" s="80"/>
    </row>
    <row r="233" spans="4:4" x14ac:dyDescent="0.2">
      <c r="D233" s="80"/>
    </row>
    <row r="234" spans="4:4" x14ac:dyDescent="0.2">
      <c r="D234" s="80"/>
    </row>
    <row r="235" spans="4:4" x14ac:dyDescent="0.2">
      <c r="D235" s="80"/>
    </row>
    <row r="236" spans="4:4" x14ac:dyDescent="0.2">
      <c r="D236" s="80"/>
    </row>
    <row r="237" spans="4:4" x14ac:dyDescent="0.2">
      <c r="D237" s="80"/>
    </row>
    <row r="238" spans="4:4" x14ac:dyDescent="0.2">
      <c r="D238" s="80"/>
    </row>
    <row r="239" spans="4:4" x14ac:dyDescent="0.2">
      <c r="D239" s="80"/>
    </row>
    <row r="240" spans="4:4" x14ac:dyDescent="0.2">
      <c r="D240" s="80"/>
    </row>
    <row r="241" spans="4:4" x14ac:dyDescent="0.2">
      <c r="D241" s="80"/>
    </row>
    <row r="242" spans="4:4" x14ac:dyDescent="0.2">
      <c r="D242" s="80"/>
    </row>
  </sheetData>
  <mergeCells count="14">
    <mergeCell ref="H1:J1"/>
    <mergeCell ref="K1:M1"/>
    <mergeCell ref="T1:U1"/>
    <mergeCell ref="Q1:Q2"/>
    <mergeCell ref="R1:R2"/>
    <mergeCell ref="S1:S2"/>
    <mergeCell ref="N1:P1"/>
    <mergeCell ref="F1:G1"/>
    <mergeCell ref="E1:E2"/>
    <mergeCell ref="D1:D2"/>
    <mergeCell ref="A143:A166"/>
    <mergeCell ref="A1:A2"/>
    <mergeCell ref="B1:B2"/>
    <mergeCell ref="C1:C2"/>
  </mergeCells>
  <phoneticPr fontId="5" type="noConversion"/>
  <conditionalFormatting sqref="R143:R145 R104:R105 R86:R87 R60:R66 R71 R107:R126 R76:R78 R41:R42 R3:R39">
    <cfRule type="cellIs" dxfId="23" priority="73" stopIfTrue="1" operator="equal">
      <formula>$R$143</formula>
    </cfRule>
    <cfRule type="cellIs" dxfId="22" priority="74" stopIfTrue="1" operator="equal">
      <formula>$R$144</formula>
    </cfRule>
    <cfRule type="cellIs" dxfId="21" priority="75" stopIfTrue="1" operator="equal">
      <formula>$R$145</formula>
    </cfRule>
  </conditionalFormatting>
  <conditionalFormatting sqref="R126:R139 R114:R115 R67:R112 R40 R3 R10:R28 R43:R59">
    <cfRule type="cellIs" dxfId="20" priority="70" stopIfTrue="1" operator="equal">
      <formula>$R$145</formula>
    </cfRule>
    <cfRule type="cellIs" dxfId="19" priority="71" stopIfTrue="1" operator="equal">
      <formula>$R$144</formula>
    </cfRule>
    <cfRule type="cellIs" dxfId="18" priority="72" stopIfTrue="1" operator="equal">
      <formula>$R$143</formula>
    </cfRule>
  </conditionalFormatting>
  <conditionalFormatting sqref="R121:R125">
    <cfRule type="cellIs" dxfId="17" priority="164" stopIfTrue="1" operator="equal">
      <formula>$R$209</formula>
    </cfRule>
    <cfRule type="cellIs" dxfId="16" priority="165" stopIfTrue="1" operator="equal">
      <formula>$R$208</formula>
    </cfRule>
    <cfRule type="cellIs" dxfId="15" priority="166" stopIfTrue="1" operator="equal">
      <formula>$R$207</formula>
    </cfRule>
  </conditionalFormatting>
  <conditionalFormatting sqref="I3:I139 L3:L139 O3:O139">
    <cfRule type="cellIs" priority="13" operator="equal">
      <formula>$I$170</formula>
    </cfRule>
    <cfRule type="cellIs" dxfId="14" priority="176" stopIfTrue="1" operator="between">
      <formula>$I$169</formula>
      <formula>$I$151</formula>
    </cfRule>
    <cfRule type="cellIs" dxfId="13" priority="177" stopIfTrue="1" operator="between">
      <formula>$I$150</formula>
      <formula>$I$148</formula>
    </cfRule>
    <cfRule type="cellIs" dxfId="12" priority="178" stopIfTrue="1" operator="between">
      <formula>$I$147</formula>
      <formula>$I$143</formula>
    </cfRule>
  </conditionalFormatting>
  <conditionalFormatting sqref="I143:I169">
    <cfRule type="cellIs" priority="9" operator="equal">
      <formula>$I$170</formula>
    </cfRule>
    <cfRule type="cellIs" dxfId="11" priority="10" stopIfTrue="1" operator="between">
      <formula>$I$169</formula>
      <formula>$I$151</formula>
    </cfRule>
    <cfRule type="cellIs" dxfId="10" priority="11" stopIfTrue="1" operator="between">
      <formula>$I$150</formula>
      <formula>$I$148</formula>
    </cfRule>
    <cfRule type="cellIs" dxfId="9" priority="12" stopIfTrue="1" operator="between">
      <formula>$I$147</formula>
      <formula>$I$143</formula>
    </cfRule>
  </conditionalFormatting>
  <conditionalFormatting sqref="L143:L169">
    <cfRule type="cellIs" priority="5" operator="equal">
      <formula>$I$170</formula>
    </cfRule>
    <cfRule type="cellIs" dxfId="8" priority="6" stopIfTrue="1" operator="between">
      <formula>$I$169</formula>
      <formula>$I$151</formula>
    </cfRule>
    <cfRule type="cellIs" dxfId="7" priority="7" stopIfTrue="1" operator="between">
      <formula>$I$150</formula>
      <formula>$I$148</formula>
    </cfRule>
    <cfRule type="cellIs" dxfId="6" priority="8" stopIfTrue="1" operator="between">
      <formula>$I$147</formula>
      <formula>$I$143</formula>
    </cfRule>
  </conditionalFormatting>
  <conditionalFormatting sqref="O143:O169">
    <cfRule type="cellIs" priority="1" operator="equal">
      <formula>$I$170</formula>
    </cfRule>
    <cfRule type="cellIs" dxfId="5" priority="2" stopIfTrue="1" operator="between">
      <formula>$I$169</formula>
      <formula>$I$151</formula>
    </cfRule>
    <cfRule type="cellIs" dxfId="4" priority="3" stopIfTrue="1" operator="between">
      <formula>$I$150</formula>
      <formula>$I$148</formula>
    </cfRule>
    <cfRule type="cellIs" dxfId="3" priority="4" stopIfTrue="1" operator="between">
      <formula>$I$147</formula>
      <formula>$I$143</formula>
    </cfRule>
  </conditionalFormatting>
  <dataValidations count="12">
    <dataValidation type="list" allowBlank="1" showInputMessage="1" showErrorMessage="1" sqref="R126:R140 R3:R120">
      <formula1>$R$143:$R$145</formula1>
    </dataValidation>
    <dataValidation type="list" allowBlank="1" showInputMessage="1" showErrorMessage="1" sqref="T126:T139 T117:T120 T107:T115 T78:T83 T94 T85 T96:T103 T4:T70">
      <formula1>$T$143:$T$144</formula1>
    </dataValidation>
    <dataValidation type="list" allowBlank="1" showInputMessage="1" showErrorMessage="1" sqref="T121">
      <formula1>$T$170:$T$171</formula1>
    </dataValidation>
    <dataValidation type="list" allowBlank="1" showInputMessage="1" showErrorMessage="1" sqref="T122:T125">
      <formula1>$T$207:$T$208</formula1>
    </dataValidation>
    <dataValidation type="list" allowBlank="1" showInputMessage="1" showErrorMessage="1" sqref="G85 F3:F140">
      <formula1>Level1agencysaving</formula1>
    </dataValidation>
    <dataValidation type="list" allowBlank="1" showInputMessage="1" showErrorMessage="1" sqref="G86:G140 G3:G84">
      <formula1>Level2agencysaving</formula1>
    </dataValidation>
    <dataValidation type="list" allowBlank="1" showInputMessage="1" showErrorMessage="1" sqref="T71:T77 T84 T3 T116 T104:T106 T95 T86:T93">
      <formula1>$T$185:$T$186</formula1>
    </dataValidation>
    <dataValidation type="list" allowBlank="1" showInputMessage="1" showErrorMessage="1" sqref="R121:R125">
      <formula1>$R$207:$R$209</formula1>
    </dataValidation>
    <dataValidation type="list" allowBlank="1" showInputMessage="1" showErrorMessage="1" sqref="L3:L140 I3:I140 O3:O140">
      <formula1>Year</formula1>
    </dataValidation>
    <dataValidation type="list" allowBlank="1" showInputMessage="1" showErrorMessage="1" sqref="E3:E140">
      <formula1>Unit</formula1>
    </dataValidation>
    <dataValidation type="list" allowBlank="1" showInputMessage="1" showErrorMessage="1" sqref="A3:A140">
      <formula1>Outcomecategory</formula1>
    </dataValidation>
    <dataValidation type="list" allowBlank="1" showInputMessage="1" showErrorMessage="1" sqref="B3:B140">
      <formula1>Outcomedetail</formula1>
    </dataValidation>
  </dataValidations>
  <hyperlinks>
    <hyperlink ref="Q60:Q66" r:id="rId1" display="Exploration of the costs and impact of the Common Assessment Framework (DfE, 2012)"/>
    <hyperlink ref="Q43" r:id="rId2"/>
    <hyperlink ref="Q44" r:id="rId3"/>
    <hyperlink ref="Q45" r:id="rId4"/>
    <hyperlink ref="Q46" r:id="rId5"/>
    <hyperlink ref="Q47" r:id="rId6"/>
    <hyperlink ref="Q48" r:id="rId7"/>
    <hyperlink ref="Q49" r:id="rId8"/>
    <hyperlink ref="Q50" r:id="rId9"/>
    <hyperlink ref="Q69" r:id="rId10" display="Unit Costs of Health and Social Care 2011 (Curtis, 2011)"/>
    <hyperlink ref="Q67" r:id="rId11" display="Unit Costs of Health and Social Care 2011 (Curtis, 2011)"/>
    <hyperlink ref="Q68" r:id="rId12" display="Unit Costs of Health and Social Care 2011 (Curtis, 2011)"/>
    <hyperlink ref="Q70" r:id="rId13"/>
    <hyperlink ref="Q32" r:id="rId14"/>
    <hyperlink ref="Q33:Q36" r:id="rId15" display="In Loco Parentis (Demos, 2010), Appendix 2"/>
    <hyperlink ref="Q37:Q39" r:id="rId16" display="In Loco Parentis (Demos, 2010), Appendix 2"/>
    <hyperlink ref="Q10" r:id="rId17" display="Unit Costs of Health and Social Care 2011 (Curtis, 2011), p.120"/>
    <hyperlink ref="Q19:Q21" r:id="rId18" display="Unit Costs of Health and Social Care 2011 (Curtis, 2011), p.121"/>
    <hyperlink ref="Q23:Q27" r:id="rId19" display="Unit Costs of Health and Social Care 2011 (Curtis, 2011), p.122"/>
    <hyperlink ref="Q40" r:id="rId20"/>
    <hyperlink ref="Q94" r:id="rId21"/>
    <hyperlink ref="Q114" r:id="rId22"/>
    <hyperlink ref="Q138" r:id="rId23"/>
    <hyperlink ref="Q139" r:id="rId24"/>
    <hyperlink ref="Q51" r:id="rId25"/>
    <hyperlink ref="Q52" r:id="rId26"/>
    <hyperlink ref="Q53:Q54" r:id="rId27" display="Extension of the cost calculator to include cost calculations for all children in need (DfE, 2010), p.7"/>
    <hyperlink ref="Q55" r:id="rId28"/>
    <hyperlink ref="Q56" r:id="rId29"/>
    <hyperlink ref="Q57" r:id="rId30"/>
    <hyperlink ref="Q58" r:id="rId31"/>
    <hyperlink ref="Q59" r:id="rId32"/>
    <hyperlink ref="Q11:Q15" r:id="rId33" display="Unit Costs of Health and Social Care 2011 (Curtis, 2011), p.120"/>
    <hyperlink ref="Q4:Q7" r:id="rId34" display="Unit Costs of Health and Social Care 2011 (Curtis, 2011), p.120"/>
    <hyperlink ref="Q8:Q19" r:id="rId35" display="Unit Costs of Health and Social Care 2011 (Curtis, 2011), p.120"/>
    <hyperlink ref="Q20:Q23" r:id="rId36" display="Unit Costs of Health and Social Care 2011 (Curtis, 2011), p.120"/>
    <hyperlink ref="Q24:Q28" r:id="rId37" display="Unit Costs of Health and Social Care 2011 (Curtis, 2011), p.120"/>
    <hyperlink ref="Q71" r:id="rId38"/>
    <hyperlink ref="Q113" r:id="rId39"/>
    <hyperlink ref="Q116:Q120" r:id="rId40" display="Mental Health Promotion and Mental Illness Prevention: the economic case (Knapp et al, 2011)"/>
    <hyperlink ref="Q29" r:id="rId41"/>
    <hyperlink ref="Q85" r:id="rId42" display="Unit Costs of Health &amp; Social Care 2013 (Curtis, 2013), p.28"/>
    <hyperlink ref="Q100" r:id="rId43" display="Unit Costs of Health and Social Care 2011 (Curtis, 2011), p.159"/>
    <hyperlink ref="Q3" r:id="rId44"/>
    <hyperlink ref="Q78" r:id="rId45"/>
    <hyperlink ref="Q76" r:id="rId46"/>
    <hyperlink ref="Q77" r:id="rId47"/>
    <hyperlink ref="Q86" r:id="rId48"/>
    <hyperlink ref="Q87" r:id="rId49"/>
    <hyperlink ref="Q104" r:id="rId50"/>
    <hyperlink ref="Q105" r:id="rId51"/>
    <hyperlink ref="Q107" r:id="rId52"/>
    <hyperlink ref="Q108" r:id="rId53"/>
    <hyperlink ref="Q109" r:id="rId54"/>
    <hyperlink ref="Q110" r:id="rId55"/>
    <hyperlink ref="Q111" r:id="rId56"/>
    <hyperlink ref="Q112" r:id="rId57"/>
    <hyperlink ref="Q30:Q31" r:id="rId58" display="Unit Costs of Health &amp; Social Care 2014 (Curtis, 2014), p.88"/>
    <hyperlink ref="Q41" r:id="rId59" display="Unit Costs of Health &amp; Social Care 2014 (Curtis, 2014), p.88"/>
    <hyperlink ref="Q42" r:id="rId60" display="Unit Costs of Health &amp; Social Care 2014 (Curtis, 2014), p.88"/>
    <hyperlink ref="Q72" r:id="rId61" display="Unit Costs of Health &amp; Social Care 2014 (Curtis, 2014), p.88"/>
    <hyperlink ref="Q73:Q75" r:id="rId62" display="Unit Costs of Health &amp; Social Care 2014 (Curtis, 2014), p.88"/>
    <hyperlink ref="Q84" r:id="rId63" display="Unit Costs of Health &amp; Social Care 2014 (Curtis, 2014), p.88"/>
    <hyperlink ref="Q88" r:id="rId64" display="Unit Costs of Health &amp; Social Care 2014 (Curtis, 2014), p.88"/>
    <hyperlink ref="Q89" r:id="rId65" display="Unit Costs of Health &amp; Social Care 2014 (Curtis, 2014), p.88"/>
    <hyperlink ref="Q90" r:id="rId66" display="Unit Costs of Health &amp; Social Care 2014 (Curtis, 2014), p.88"/>
    <hyperlink ref="Q91" r:id="rId67" display="Unit Costs of Health &amp; Social Care 2014 (Curtis, 2014), p.88"/>
    <hyperlink ref="Q92" r:id="rId68" display="Unit Costs of Health &amp; Social Care 2014 (Curtis, 2014), p.88"/>
    <hyperlink ref="Q93" r:id="rId69" display="Unit Costs of Health &amp; Social Care 2014 (Curtis, 2014), p.88"/>
    <hyperlink ref="Q95" r:id="rId70" display="Unit Costs of Health &amp; Social Care 2014 (Curtis, 2014), p.88"/>
    <hyperlink ref="Q96" r:id="rId71" display="Unit Costs of Health &amp; Social Care 2014 (Curtis, 2014), p.88"/>
    <hyperlink ref="Q97" r:id="rId72" display="Unit Costs of Health &amp; Social Care 2014 (Curtis, 2014), p.88"/>
    <hyperlink ref="Q98" r:id="rId73" display="Unit Costs of Health &amp; Social Care 2014 (Curtis, 2014), p.88"/>
    <hyperlink ref="Q101" r:id="rId74" display="Unit Costs of Health &amp; Social Care 2014 (Curtis, 2014), p.88"/>
    <hyperlink ref="Q102" r:id="rId75" display="Unit Costs of Health &amp; Social Care 2014 (Curtis, 2014), p.88"/>
    <hyperlink ref="Q103" r:id="rId76" display="Unit Costs of Health &amp; Social Care 2014 (Curtis, 2014), p.88"/>
    <hyperlink ref="Q106" r:id="rId77" display="Unit Costs of Health &amp; Social Care 2014 (Curtis, 2014), p.88"/>
    <hyperlink ref="Q115" r:id="rId78" display="Unit Costs of Health &amp; Social Care 2014 (Curtis, 2014), p.88"/>
    <hyperlink ref="Q126" r:id="rId79" display="Unit Costs of Health &amp; Social Care 2014 (Curtis, 2014), p.88"/>
    <hyperlink ref="Q127" r:id="rId80" display="Unit Costs of Health &amp; Social Care 2014 (Curtis, 2014), p.88"/>
    <hyperlink ref="Q128" r:id="rId81" display="Unit Costs of Health &amp; Social Care 2014 (Curtis, 2014), p.88"/>
    <hyperlink ref="Q129" r:id="rId82" display="Unit Costs of Health &amp; Social Care 2014 (Curtis, 2014), p.88"/>
    <hyperlink ref="Q130" r:id="rId83" display="Unit Costs of Health &amp; Social Care 2014 (Curtis, 2014), p.88"/>
    <hyperlink ref="Q131" r:id="rId84" display="Unit Costs of Health &amp; Social Care 2014 (Curtis, 2014), p.88"/>
    <hyperlink ref="Q132" r:id="rId85" display="Unit Costs of Health &amp; Social Care 2014 (Curtis, 2014), p.88"/>
    <hyperlink ref="Q133" r:id="rId86" display="Unit Costs of Health &amp; Social Care 2014 (Curtis, 2014), p.88"/>
    <hyperlink ref="Q134" r:id="rId87" display="Unit Costs of Health &amp; Social Care 2014 (Curtis, 2014), p.88"/>
    <hyperlink ref="Q135" r:id="rId88" display="Unit Costs of Health &amp; Social Care 2014 (Curtis, 2014), p.88"/>
    <hyperlink ref="Q136" r:id="rId89" display="Unit Costs of Health &amp; Social Care 2014 (Curtis, 2014), p.88"/>
    <hyperlink ref="Q137" r:id="rId90" display="Unit Costs of Health &amp; Social Care 2014 (Curtis, 2014), p.88"/>
    <hyperlink ref="Q121" r:id="rId91" display="Mental Health Promotion and Mental Illness Prevention: the economic case (Knapp et al, 2011)"/>
    <hyperlink ref="Q122" r:id="rId92" display="Mental Health Promotion and Mental Illness Prevention: the economic case (Knapp et al, 2011)"/>
    <hyperlink ref="Q123" r:id="rId93" display="Mental Health Promotion and Mental Illness Prevention: the economic case (Knapp et al, 2011)"/>
    <hyperlink ref="Q124" r:id="rId94" display="Mental Health Promotion and Mental Illness Prevention: the economic case (Knapp et al, 2011)"/>
    <hyperlink ref="Q125" r:id="rId95" display="Mental Health Promotion and Mental Illness Prevention: the economic case (Knapp et al, 2011)"/>
  </hyperlinks>
  <pageMargins left="0.74803149606299213" right="0.74803149606299213" top="0.98425196850393704" bottom="0.98425196850393704" header="0.51181102362204722" footer="0.51181102362204722"/>
  <pageSetup paperSize="8" scale="44" orientation="landscape" r:id="rId9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Introduction</vt:lpstr>
      <vt:lpstr>Guidance</vt:lpstr>
      <vt:lpstr>Crime</vt:lpstr>
      <vt:lpstr>Education &amp; Skills</vt:lpstr>
      <vt:lpstr>Employment &amp; Economy</vt:lpstr>
      <vt:lpstr>Fire</vt:lpstr>
      <vt:lpstr>Health</vt:lpstr>
      <vt:lpstr>Housing</vt:lpstr>
      <vt:lpstr>Social Services</vt:lpstr>
      <vt:lpstr>Lookups</vt:lpstr>
      <vt:lpstr>v1.4 update log</vt:lpstr>
      <vt:lpstr>Level1agencysaving</vt:lpstr>
      <vt:lpstr>Level2agencysaving</vt:lpstr>
      <vt:lpstr>Outcomecategory</vt:lpstr>
      <vt:lpstr>Outcomedetail</vt:lpstr>
      <vt:lpstr>Crime!Print_Area</vt:lpstr>
      <vt:lpstr>'Education &amp; Skills'!Print_Area</vt:lpstr>
      <vt:lpstr>'Employment &amp; Economy'!Print_Area</vt:lpstr>
      <vt:lpstr>Fire!Print_Area</vt:lpstr>
      <vt:lpstr>Health!Print_Area</vt:lpstr>
      <vt:lpstr>Housing!Print_Area</vt:lpstr>
      <vt:lpstr>'Social Services'!Print_Area</vt:lpstr>
      <vt:lpstr>'v1.4 update log'!Print_Area</vt:lpstr>
      <vt:lpstr>Crime!Print_Titles</vt:lpstr>
      <vt:lpstr>'Education &amp; Skills'!Print_Titles</vt:lpstr>
      <vt:lpstr>'Employment &amp; Economy'!Print_Titles</vt:lpstr>
      <vt:lpstr>Fire!Print_Titles</vt:lpstr>
      <vt:lpstr>Health!Print_Titles</vt:lpstr>
      <vt:lpstr>Housing!Print_Titles</vt:lpstr>
      <vt:lpstr>'Social Services'!Print_Titles</vt:lpstr>
      <vt:lpstr>'v1.4 update log'!Print_Titles</vt:lpstr>
      <vt:lpstr>RAGassessment</vt:lpstr>
      <vt:lpstr>Unit</vt:lpstr>
      <vt:lpstr>Year</vt:lpstr>
    </vt:vector>
  </TitlesOfParts>
  <Company>TMBC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Unit cost database</dc:title>
  <dc:creator>Francis Markus</dc:creator>
  <cp:keywords>New Economy</cp:keywords>
  <cp:lastModifiedBy>Boris Zelenika</cp:lastModifiedBy>
  <cp:lastPrinted>2015-03-27T21:33:05Z</cp:lastPrinted>
  <dcterms:created xsi:type="dcterms:W3CDTF">2011-06-29T07:05:00Z</dcterms:created>
  <dcterms:modified xsi:type="dcterms:W3CDTF">2015-07-21T12:00:42Z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0x010100C128D4B275C3DD4D83EC82E871B2F6FB</vt:lpwstr>
  </property>
  <property fmtid="{D5CDD505-2E9C-101B-9397-08002B2CF9AE}" pid="4" name="Document Type">
    <vt:lpwstr>Data Analysis</vt:lpwstr>
  </property>
  <property fmtid="{D5CDD505-2E9C-101B-9397-08002B2CF9AE}" pid="5" name="Description0">
    <vt:lpwstr>Database of costs across different boroughs involved in Community Budgets</vt:lpwstr>
  </property>
  <property fmtid="{D5CDD505-2E9C-101B-9397-08002B2CF9AE}" pid="6" name="Security0">
    <vt:lpwstr>Restricted</vt:lpwstr>
  </property>
</Properties>
</file>